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regc\Downloads\"/>
    </mc:Choice>
  </mc:AlternateContent>
  <xr:revisionPtr revIDLastSave="0" documentId="13_ncr:1_{919E2CD3-0FEB-410A-B6D4-423BA32CB490}" xr6:coauthVersionLast="47" xr6:coauthVersionMax="47" xr10:uidLastSave="{00000000-0000-0000-0000-000000000000}"/>
  <bookViews>
    <workbookView xWindow="28680" yWindow="-120" windowWidth="29040" windowHeight="15720" tabRatio="500" xr2:uid="{00000000-000D-0000-FFFF-FFFF00000000}"/>
  </bookViews>
  <sheets>
    <sheet name="Couverture" sheetId="1" r:id="rId1"/>
    <sheet name="Sommaire" sheetId="2" r:id="rId2"/>
    <sheet name="CR" sheetId="3" r:id="rId3"/>
    <sheet name="Bilan" sheetId="4" r:id="rId4"/>
    <sheet name="TFT" sheetId="5" r:id="rId5"/>
    <sheet name="Effectifs" sheetId="6" r:id="rId6"/>
    <sheet name="Charges_Personnel" sheetId="7" r:id="rId7"/>
    <sheet name="Fournisseurs" sheetId="8" r:id="rId8"/>
    <sheet name="Clients" sheetId="9" r:id="rId9"/>
    <sheet name="Sources &gt;&gt;&gt;" sheetId="10" r:id="rId10"/>
    <sheet name="Mapping" sheetId="11" r:id="rId11"/>
    <sheet name="Balance_Générale" sheetId="12" r:id="rId12"/>
    <sheet name="Avertissement" sheetId="13" r:id="rId13"/>
  </sheets>
  <definedNames>
    <definedName name="_xlnm._FilterDatabase" localSheetId="11" hidden="1">Balance_Générale!$A$1:$J$127</definedName>
    <definedName name="_xlnm._FilterDatabase" localSheetId="3" hidden="1">Bilan!$B$5:$F$52</definedName>
    <definedName name="_xlnm._FilterDatabase" localSheetId="5" hidden="1">Effectifs!$A$4:$O$12</definedName>
    <definedName name="_xlnm._FilterDatabase" localSheetId="10" hidden="1">Mapping!$A$1:$F$127</definedName>
    <definedName name="_xlnm.Print_Titles" localSheetId="11">Balance_Générale!$1:$1</definedName>
    <definedName name="_xlnm.Print_Titles" localSheetId="3">Bilan!$1:$5</definedName>
    <definedName name="_xlnm.Print_Titles" localSheetId="6">Charges_Personnel!$1:$6</definedName>
    <definedName name="_xlnm.Print_Titles" localSheetId="2">CR!$1:$5</definedName>
    <definedName name="_xlnm.Print_Titles" localSheetId="5">Effectifs!$1:$4</definedName>
    <definedName name="_xlnm.Print_Titles" localSheetId="10">Mapping!$1:$1</definedName>
    <definedName name="_xlnm.Print_Titles" localSheetId="4">TFT!$1:$5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5" i="2" l="1"/>
  <c r="J127" i="12"/>
  <c r="I127" i="12"/>
  <c r="H127" i="12"/>
  <c r="G127" i="12"/>
  <c r="F127" i="12"/>
  <c r="B127" i="12"/>
  <c r="J126" i="12"/>
  <c r="I126" i="12"/>
  <c r="H126" i="12"/>
  <c r="G126" i="12"/>
  <c r="F126" i="12"/>
  <c r="B126" i="12"/>
  <c r="J125" i="12"/>
  <c r="I125" i="12"/>
  <c r="H125" i="12"/>
  <c r="G125" i="12"/>
  <c r="F125" i="12"/>
  <c r="B125" i="12"/>
  <c r="J124" i="12"/>
  <c r="I124" i="12"/>
  <c r="H124" i="12"/>
  <c r="G124" i="12"/>
  <c r="F124" i="12"/>
  <c r="B124" i="12"/>
  <c r="J123" i="12"/>
  <c r="I123" i="12"/>
  <c r="H123" i="12"/>
  <c r="G123" i="12"/>
  <c r="F123" i="12"/>
  <c r="B123" i="12"/>
  <c r="J122" i="12"/>
  <c r="I122" i="12"/>
  <c r="H122" i="12"/>
  <c r="G122" i="12"/>
  <c r="F122" i="12"/>
  <c r="B122" i="12"/>
  <c r="J121" i="12"/>
  <c r="I121" i="12"/>
  <c r="H121" i="12"/>
  <c r="G121" i="12"/>
  <c r="F121" i="12"/>
  <c r="B121" i="12"/>
  <c r="J120" i="12"/>
  <c r="I120" i="12"/>
  <c r="H120" i="12"/>
  <c r="G120" i="12"/>
  <c r="F120" i="12"/>
  <c r="B120" i="12"/>
  <c r="J119" i="12"/>
  <c r="I119" i="12"/>
  <c r="H119" i="12"/>
  <c r="G119" i="12"/>
  <c r="F119" i="12"/>
  <c r="B119" i="12"/>
  <c r="J118" i="12"/>
  <c r="I118" i="12"/>
  <c r="H118" i="12"/>
  <c r="G118" i="12"/>
  <c r="F118" i="12"/>
  <c r="B118" i="12"/>
  <c r="J117" i="12"/>
  <c r="I117" i="12"/>
  <c r="H117" i="12"/>
  <c r="G117" i="12"/>
  <c r="F117" i="12"/>
  <c r="B117" i="12"/>
  <c r="J116" i="12"/>
  <c r="I116" i="12"/>
  <c r="H116" i="12"/>
  <c r="G116" i="12"/>
  <c r="F116" i="12"/>
  <c r="B116" i="12"/>
  <c r="J115" i="12"/>
  <c r="I115" i="12"/>
  <c r="H115" i="12"/>
  <c r="G115" i="12"/>
  <c r="F115" i="12"/>
  <c r="B115" i="12"/>
  <c r="J114" i="12"/>
  <c r="I114" i="12"/>
  <c r="H114" i="12"/>
  <c r="G114" i="12"/>
  <c r="F114" i="12"/>
  <c r="B114" i="12"/>
  <c r="J113" i="12"/>
  <c r="I113" i="12"/>
  <c r="H113" i="12"/>
  <c r="G113" i="12"/>
  <c r="F113" i="12"/>
  <c r="B113" i="12"/>
  <c r="J112" i="12"/>
  <c r="I112" i="12"/>
  <c r="H112" i="12"/>
  <c r="G112" i="12"/>
  <c r="F112" i="12"/>
  <c r="B112" i="12"/>
  <c r="J111" i="12"/>
  <c r="I111" i="12"/>
  <c r="H111" i="12"/>
  <c r="G111" i="12"/>
  <c r="F111" i="12"/>
  <c r="B111" i="12"/>
  <c r="J110" i="12"/>
  <c r="I110" i="12"/>
  <c r="H110" i="12"/>
  <c r="G110" i="12"/>
  <c r="F110" i="12"/>
  <c r="B110" i="12"/>
  <c r="J109" i="12"/>
  <c r="I109" i="12"/>
  <c r="H109" i="12"/>
  <c r="G109" i="12"/>
  <c r="F109" i="12"/>
  <c r="B109" i="12"/>
  <c r="J108" i="12"/>
  <c r="I108" i="12"/>
  <c r="H108" i="12"/>
  <c r="G108" i="12"/>
  <c r="F108" i="12"/>
  <c r="B108" i="12"/>
  <c r="J107" i="12"/>
  <c r="I107" i="12"/>
  <c r="H107" i="12"/>
  <c r="G107" i="12"/>
  <c r="F107" i="12"/>
  <c r="B107" i="12"/>
  <c r="J106" i="12"/>
  <c r="I106" i="12"/>
  <c r="H106" i="12"/>
  <c r="G106" i="12"/>
  <c r="F106" i="12"/>
  <c r="B106" i="12"/>
  <c r="J105" i="12"/>
  <c r="I105" i="12"/>
  <c r="H105" i="12"/>
  <c r="G105" i="12"/>
  <c r="F105" i="12"/>
  <c r="B105" i="12"/>
  <c r="J104" i="12"/>
  <c r="I104" i="12"/>
  <c r="H104" i="12"/>
  <c r="G104" i="12"/>
  <c r="F104" i="12"/>
  <c r="B104" i="12"/>
  <c r="J103" i="12"/>
  <c r="I103" i="12"/>
  <c r="H103" i="12"/>
  <c r="G103" i="12"/>
  <c r="F103" i="12"/>
  <c r="B103" i="12"/>
  <c r="J102" i="12"/>
  <c r="I102" i="12"/>
  <c r="H102" i="12"/>
  <c r="G102" i="12"/>
  <c r="F102" i="12"/>
  <c r="B102" i="12"/>
  <c r="J101" i="12"/>
  <c r="I101" i="12"/>
  <c r="H101" i="12"/>
  <c r="G101" i="12"/>
  <c r="F101" i="12"/>
  <c r="B101" i="12"/>
  <c r="J100" i="12"/>
  <c r="I100" i="12"/>
  <c r="H100" i="12"/>
  <c r="G100" i="12"/>
  <c r="F100" i="12"/>
  <c r="B100" i="12"/>
  <c r="J99" i="12"/>
  <c r="I99" i="12"/>
  <c r="H99" i="12"/>
  <c r="G99" i="12"/>
  <c r="F99" i="12"/>
  <c r="B99" i="12"/>
  <c r="J98" i="12"/>
  <c r="I98" i="12"/>
  <c r="H98" i="12"/>
  <c r="G98" i="12"/>
  <c r="F98" i="12"/>
  <c r="B98" i="12"/>
  <c r="J97" i="12"/>
  <c r="I97" i="12"/>
  <c r="H97" i="12"/>
  <c r="G97" i="12"/>
  <c r="F97" i="12"/>
  <c r="B97" i="12"/>
  <c r="J96" i="12"/>
  <c r="I96" i="12"/>
  <c r="H96" i="12"/>
  <c r="G96" i="12"/>
  <c r="F96" i="12"/>
  <c r="B96" i="12"/>
  <c r="J95" i="12"/>
  <c r="I95" i="12"/>
  <c r="H95" i="12"/>
  <c r="G95" i="12"/>
  <c r="F95" i="12"/>
  <c r="B95" i="12"/>
  <c r="J94" i="12"/>
  <c r="I94" i="12"/>
  <c r="H94" i="12"/>
  <c r="G94" i="12"/>
  <c r="F94" i="12"/>
  <c r="B94" i="12"/>
  <c r="J93" i="12"/>
  <c r="I93" i="12"/>
  <c r="H93" i="12"/>
  <c r="G93" i="12"/>
  <c r="F93" i="12"/>
  <c r="B93" i="12"/>
  <c r="J92" i="12"/>
  <c r="I92" i="12"/>
  <c r="H92" i="12"/>
  <c r="G92" i="12"/>
  <c r="F92" i="12"/>
  <c r="B92" i="12"/>
  <c r="J91" i="12"/>
  <c r="I91" i="12"/>
  <c r="H91" i="12"/>
  <c r="G91" i="12"/>
  <c r="F91" i="12"/>
  <c r="B91" i="12"/>
  <c r="J90" i="12"/>
  <c r="I90" i="12"/>
  <c r="H90" i="12"/>
  <c r="G90" i="12"/>
  <c r="F90" i="12"/>
  <c r="B90" i="12"/>
  <c r="J89" i="12"/>
  <c r="I89" i="12"/>
  <c r="H89" i="12"/>
  <c r="G89" i="12"/>
  <c r="F89" i="12"/>
  <c r="B89" i="12"/>
  <c r="J88" i="12"/>
  <c r="I88" i="12"/>
  <c r="H88" i="12"/>
  <c r="G88" i="12"/>
  <c r="F88" i="12"/>
  <c r="B88" i="12"/>
  <c r="J87" i="12"/>
  <c r="I87" i="12"/>
  <c r="H87" i="12"/>
  <c r="G87" i="12"/>
  <c r="F87" i="12"/>
  <c r="B87" i="12"/>
  <c r="J86" i="12"/>
  <c r="I86" i="12"/>
  <c r="H86" i="12"/>
  <c r="G86" i="12"/>
  <c r="F86" i="12"/>
  <c r="B86" i="12"/>
  <c r="J85" i="12"/>
  <c r="I85" i="12"/>
  <c r="H85" i="12"/>
  <c r="G85" i="12"/>
  <c r="F85" i="12"/>
  <c r="B85" i="12"/>
  <c r="J84" i="12"/>
  <c r="I84" i="12"/>
  <c r="H84" i="12"/>
  <c r="G84" i="12"/>
  <c r="F84" i="12"/>
  <c r="B84" i="12"/>
  <c r="J83" i="12"/>
  <c r="I83" i="12"/>
  <c r="H83" i="12"/>
  <c r="G83" i="12"/>
  <c r="F83" i="12"/>
  <c r="B83" i="12"/>
  <c r="J82" i="12"/>
  <c r="I82" i="12"/>
  <c r="H82" i="12"/>
  <c r="G82" i="12"/>
  <c r="F82" i="12"/>
  <c r="B82" i="12"/>
  <c r="J81" i="12"/>
  <c r="I81" i="12"/>
  <c r="H81" i="12"/>
  <c r="G81" i="12"/>
  <c r="F81" i="12"/>
  <c r="B81" i="12"/>
  <c r="J80" i="12"/>
  <c r="I80" i="12"/>
  <c r="H80" i="12"/>
  <c r="G80" i="12"/>
  <c r="F80" i="12"/>
  <c r="B80" i="12"/>
  <c r="J79" i="12"/>
  <c r="I79" i="12"/>
  <c r="H79" i="12"/>
  <c r="G79" i="12"/>
  <c r="F79" i="12"/>
  <c r="B79" i="12"/>
  <c r="J78" i="12"/>
  <c r="I78" i="12"/>
  <c r="H78" i="12"/>
  <c r="G78" i="12"/>
  <c r="F78" i="12"/>
  <c r="B78" i="12"/>
  <c r="J77" i="12"/>
  <c r="I77" i="12"/>
  <c r="H77" i="12"/>
  <c r="G77" i="12"/>
  <c r="F77" i="12"/>
  <c r="B77" i="12"/>
  <c r="J76" i="12"/>
  <c r="I76" i="12"/>
  <c r="H76" i="12"/>
  <c r="G76" i="12"/>
  <c r="F76" i="12"/>
  <c r="B76" i="12"/>
  <c r="J75" i="12"/>
  <c r="I75" i="12"/>
  <c r="H75" i="12"/>
  <c r="G75" i="12"/>
  <c r="F75" i="12"/>
  <c r="B75" i="12"/>
  <c r="J74" i="12"/>
  <c r="I74" i="12"/>
  <c r="H74" i="12"/>
  <c r="G74" i="12"/>
  <c r="F74" i="12"/>
  <c r="B74" i="12"/>
  <c r="J73" i="12"/>
  <c r="I73" i="12"/>
  <c r="H73" i="12"/>
  <c r="G73" i="12"/>
  <c r="F73" i="12"/>
  <c r="B73" i="12"/>
  <c r="J72" i="12"/>
  <c r="I72" i="12"/>
  <c r="H72" i="12"/>
  <c r="G72" i="12"/>
  <c r="F72" i="12"/>
  <c r="B72" i="12"/>
  <c r="J71" i="12"/>
  <c r="I71" i="12"/>
  <c r="H71" i="12"/>
  <c r="G71" i="12"/>
  <c r="K49" i="3" s="1"/>
  <c r="F71" i="12"/>
  <c r="B71" i="12"/>
  <c r="J70" i="12"/>
  <c r="I70" i="12"/>
  <c r="H70" i="12"/>
  <c r="G70" i="12"/>
  <c r="F70" i="12"/>
  <c r="B70" i="12"/>
  <c r="J69" i="12"/>
  <c r="I69" i="12"/>
  <c r="H69" i="12"/>
  <c r="G69" i="12"/>
  <c r="F69" i="12"/>
  <c r="B69" i="12"/>
  <c r="I68" i="12"/>
  <c r="H68" i="12"/>
  <c r="G68" i="12"/>
  <c r="F68" i="12"/>
  <c r="B68" i="12"/>
  <c r="J67" i="12"/>
  <c r="I67" i="12"/>
  <c r="H67" i="12"/>
  <c r="G67" i="12"/>
  <c r="F67" i="12"/>
  <c r="B67" i="12"/>
  <c r="J66" i="12"/>
  <c r="I66" i="12"/>
  <c r="H66" i="12"/>
  <c r="G66" i="12"/>
  <c r="F66" i="12"/>
  <c r="B66" i="12"/>
  <c r="J65" i="12"/>
  <c r="I65" i="12"/>
  <c r="H65" i="12"/>
  <c r="I25" i="3" s="1"/>
  <c r="G65" i="12"/>
  <c r="F65" i="12"/>
  <c r="B65" i="12"/>
  <c r="J64" i="12"/>
  <c r="I64" i="12"/>
  <c r="H64" i="12"/>
  <c r="G64" i="12"/>
  <c r="F64" i="12"/>
  <c r="B64" i="12"/>
  <c r="J63" i="12"/>
  <c r="I63" i="12"/>
  <c r="H63" i="12"/>
  <c r="G63" i="12"/>
  <c r="F63" i="12"/>
  <c r="B63" i="12"/>
  <c r="J62" i="12"/>
  <c r="I62" i="12"/>
  <c r="H62" i="12"/>
  <c r="G62" i="12"/>
  <c r="F62" i="12"/>
  <c r="B62" i="12"/>
  <c r="J61" i="12"/>
  <c r="I61" i="12"/>
  <c r="H61" i="12"/>
  <c r="G61" i="12"/>
  <c r="F61" i="12"/>
  <c r="B61" i="12"/>
  <c r="J60" i="12"/>
  <c r="I60" i="12"/>
  <c r="H60" i="12"/>
  <c r="G60" i="12"/>
  <c r="F60" i="12"/>
  <c r="B60" i="12"/>
  <c r="J59" i="12"/>
  <c r="I59" i="12"/>
  <c r="H59" i="12"/>
  <c r="G59" i="12"/>
  <c r="F59" i="12"/>
  <c r="B59" i="12"/>
  <c r="J58" i="12"/>
  <c r="I58" i="12"/>
  <c r="H58" i="12"/>
  <c r="G58" i="12"/>
  <c r="F58" i="12"/>
  <c r="B58" i="12"/>
  <c r="J57" i="12"/>
  <c r="I57" i="12"/>
  <c r="H57" i="12"/>
  <c r="G57" i="12"/>
  <c r="F57" i="12"/>
  <c r="B57" i="12"/>
  <c r="J56" i="12"/>
  <c r="I56" i="12"/>
  <c r="H56" i="12"/>
  <c r="G56" i="12"/>
  <c r="F56" i="12"/>
  <c r="B56" i="12"/>
  <c r="J55" i="12"/>
  <c r="I55" i="12"/>
  <c r="H55" i="12"/>
  <c r="G55" i="12"/>
  <c r="F55" i="12"/>
  <c r="B55" i="12"/>
  <c r="J54" i="12"/>
  <c r="I54" i="12"/>
  <c r="H54" i="12"/>
  <c r="G54" i="12"/>
  <c r="F54" i="12"/>
  <c r="B54" i="12"/>
  <c r="J53" i="12"/>
  <c r="I53" i="12"/>
  <c r="H53" i="12"/>
  <c r="G53" i="12"/>
  <c r="F53" i="12"/>
  <c r="B53" i="12"/>
  <c r="J52" i="12"/>
  <c r="I52" i="12"/>
  <c r="H52" i="12"/>
  <c r="G52" i="12"/>
  <c r="F52" i="12"/>
  <c r="B52" i="12"/>
  <c r="J51" i="12"/>
  <c r="I51" i="12"/>
  <c r="H51" i="12"/>
  <c r="G51" i="12"/>
  <c r="F51" i="12"/>
  <c r="B51" i="12"/>
  <c r="J50" i="12"/>
  <c r="I50" i="12"/>
  <c r="H50" i="12"/>
  <c r="G50" i="12"/>
  <c r="F50" i="12"/>
  <c r="B50" i="12"/>
  <c r="J49" i="12"/>
  <c r="I49" i="12"/>
  <c r="H49" i="12"/>
  <c r="G49" i="12"/>
  <c r="F49" i="12"/>
  <c r="B49" i="12"/>
  <c r="J48" i="12"/>
  <c r="I48" i="12"/>
  <c r="H48" i="12"/>
  <c r="G48" i="12"/>
  <c r="F48" i="12"/>
  <c r="B48" i="12"/>
  <c r="J47" i="12"/>
  <c r="I47" i="12"/>
  <c r="H47" i="12"/>
  <c r="G47" i="12"/>
  <c r="F47" i="12"/>
  <c r="B47" i="12"/>
  <c r="J46" i="12"/>
  <c r="I46" i="12"/>
  <c r="H46" i="12"/>
  <c r="G46" i="12"/>
  <c r="F46" i="12"/>
  <c r="B46" i="12"/>
  <c r="J45" i="12"/>
  <c r="I45" i="12"/>
  <c r="H45" i="12"/>
  <c r="G45" i="12"/>
  <c r="F45" i="12"/>
  <c r="B45" i="12"/>
  <c r="J44" i="12"/>
  <c r="I44" i="12"/>
  <c r="H44" i="12"/>
  <c r="G44" i="12"/>
  <c r="F44" i="12"/>
  <c r="B44" i="12"/>
  <c r="J43" i="12"/>
  <c r="I43" i="12"/>
  <c r="H43" i="12"/>
  <c r="G43" i="12"/>
  <c r="F43" i="12"/>
  <c r="B43" i="12"/>
  <c r="J42" i="12"/>
  <c r="I42" i="12"/>
  <c r="H42" i="12"/>
  <c r="G42" i="12"/>
  <c r="F42" i="12"/>
  <c r="B42" i="12"/>
  <c r="J41" i="12"/>
  <c r="I41" i="12"/>
  <c r="H41" i="12"/>
  <c r="G41" i="12"/>
  <c r="F41" i="12"/>
  <c r="B41" i="12"/>
  <c r="J40" i="12"/>
  <c r="I40" i="12"/>
  <c r="H40" i="12"/>
  <c r="G40" i="12"/>
  <c r="F40" i="12"/>
  <c r="B40" i="12"/>
  <c r="J39" i="12"/>
  <c r="I39" i="12"/>
  <c r="H39" i="12"/>
  <c r="G39" i="12"/>
  <c r="F39" i="12"/>
  <c r="B39" i="12"/>
  <c r="J38" i="12"/>
  <c r="I38" i="12"/>
  <c r="H38" i="12"/>
  <c r="G38" i="12"/>
  <c r="F38" i="12"/>
  <c r="B38" i="12"/>
  <c r="J37" i="12"/>
  <c r="I37" i="12"/>
  <c r="H37" i="12"/>
  <c r="G37" i="12"/>
  <c r="F37" i="12"/>
  <c r="B37" i="12"/>
  <c r="J36" i="12"/>
  <c r="I36" i="12"/>
  <c r="H36" i="12"/>
  <c r="G36" i="12"/>
  <c r="F36" i="12"/>
  <c r="B36" i="12"/>
  <c r="J35" i="12"/>
  <c r="I35" i="12"/>
  <c r="H35" i="12"/>
  <c r="G35" i="12"/>
  <c r="F35" i="12"/>
  <c r="B35" i="12"/>
  <c r="J34" i="12"/>
  <c r="I34" i="12"/>
  <c r="H34" i="12"/>
  <c r="G34" i="12"/>
  <c r="F34" i="12"/>
  <c r="B34" i="12"/>
  <c r="J33" i="12"/>
  <c r="I33" i="12"/>
  <c r="H33" i="12"/>
  <c r="G33" i="12"/>
  <c r="F33" i="12"/>
  <c r="B33" i="12"/>
  <c r="J32" i="12"/>
  <c r="I32" i="12"/>
  <c r="H32" i="12"/>
  <c r="G32" i="12"/>
  <c r="F32" i="12"/>
  <c r="B32" i="12"/>
  <c r="J31" i="12"/>
  <c r="I31" i="12"/>
  <c r="H31" i="12"/>
  <c r="G31" i="12"/>
  <c r="F31" i="12"/>
  <c r="B31" i="12"/>
  <c r="J30" i="12"/>
  <c r="I30" i="12"/>
  <c r="H30" i="12"/>
  <c r="G30" i="12"/>
  <c r="F30" i="12"/>
  <c r="B30" i="12"/>
  <c r="J29" i="12"/>
  <c r="I29" i="12"/>
  <c r="H29" i="12"/>
  <c r="G29" i="12"/>
  <c r="F29" i="12"/>
  <c r="B29" i="12"/>
  <c r="J28" i="12"/>
  <c r="I28" i="12"/>
  <c r="H28" i="12"/>
  <c r="G28" i="12"/>
  <c r="F28" i="12"/>
  <c r="B28" i="12"/>
  <c r="J27" i="12"/>
  <c r="I27" i="12"/>
  <c r="H27" i="12"/>
  <c r="G27" i="12"/>
  <c r="F27" i="12"/>
  <c r="B27" i="12"/>
  <c r="J26" i="12"/>
  <c r="I26" i="12"/>
  <c r="H26" i="12"/>
  <c r="G26" i="12"/>
  <c r="F26" i="12"/>
  <c r="B26" i="12"/>
  <c r="J25" i="12"/>
  <c r="I25" i="12"/>
  <c r="H25" i="12"/>
  <c r="K18" i="4" s="1"/>
  <c r="K19" i="4" s="1"/>
  <c r="G25" i="12"/>
  <c r="F25" i="12"/>
  <c r="B25" i="12"/>
  <c r="J24" i="12"/>
  <c r="I24" i="12"/>
  <c r="H24" i="12"/>
  <c r="G24" i="12"/>
  <c r="F24" i="12"/>
  <c r="B24" i="12"/>
  <c r="J23" i="12"/>
  <c r="I23" i="12"/>
  <c r="H23" i="12"/>
  <c r="G23" i="12"/>
  <c r="F23" i="12"/>
  <c r="B23" i="12"/>
  <c r="J22" i="12"/>
  <c r="I22" i="12"/>
  <c r="H22" i="12"/>
  <c r="G22" i="12"/>
  <c r="F22" i="12"/>
  <c r="B22" i="12"/>
  <c r="J21" i="12"/>
  <c r="I21" i="12"/>
  <c r="H21" i="12"/>
  <c r="K35" i="4" s="1"/>
  <c r="K36" i="4" s="1"/>
  <c r="G21" i="12"/>
  <c r="F21" i="12"/>
  <c r="B21" i="12"/>
  <c r="J20" i="12"/>
  <c r="I20" i="12"/>
  <c r="H20" i="12"/>
  <c r="G20" i="12"/>
  <c r="F20" i="12"/>
  <c r="B20" i="12"/>
  <c r="J19" i="12"/>
  <c r="I19" i="12"/>
  <c r="H19" i="12"/>
  <c r="G19" i="12"/>
  <c r="F19" i="12"/>
  <c r="B19" i="12"/>
  <c r="J18" i="12"/>
  <c r="I18" i="12"/>
  <c r="H18" i="12"/>
  <c r="G18" i="12"/>
  <c r="F18" i="12"/>
  <c r="B18" i="12"/>
  <c r="J17" i="12"/>
  <c r="I17" i="12"/>
  <c r="H17" i="12"/>
  <c r="G17" i="12"/>
  <c r="F17" i="12"/>
  <c r="B17" i="12"/>
  <c r="J16" i="12"/>
  <c r="I16" i="12"/>
  <c r="H16" i="12"/>
  <c r="G16" i="12"/>
  <c r="F16" i="12"/>
  <c r="B16" i="12"/>
  <c r="J15" i="12"/>
  <c r="I15" i="12"/>
  <c r="H15" i="12"/>
  <c r="G15" i="12"/>
  <c r="F15" i="12"/>
  <c r="B15" i="12"/>
  <c r="J14" i="12"/>
  <c r="I14" i="12"/>
  <c r="H14" i="12"/>
  <c r="G14" i="12"/>
  <c r="F14" i="12"/>
  <c r="B14" i="12"/>
  <c r="J13" i="12"/>
  <c r="I13" i="12"/>
  <c r="H13" i="12"/>
  <c r="G13" i="12"/>
  <c r="F13" i="12"/>
  <c r="B13" i="12"/>
  <c r="J12" i="12"/>
  <c r="I12" i="12"/>
  <c r="H12" i="12"/>
  <c r="G12" i="12"/>
  <c r="F12" i="12"/>
  <c r="B12" i="12"/>
  <c r="J11" i="12"/>
  <c r="I11" i="12"/>
  <c r="H11" i="12"/>
  <c r="G11" i="12"/>
  <c r="F11" i="12"/>
  <c r="B11" i="12"/>
  <c r="J10" i="12"/>
  <c r="I10" i="12"/>
  <c r="H10" i="12"/>
  <c r="G10" i="12"/>
  <c r="F10" i="12"/>
  <c r="B10" i="12"/>
  <c r="J9" i="12"/>
  <c r="I9" i="12"/>
  <c r="H9" i="12"/>
  <c r="K12" i="4" s="1"/>
  <c r="G9" i="12"/>
  <c r="F9" i="12"/>
  <c r="B9" i="12"/>
  <c r="J8" i="12"/>
  <c r="I8" i="12"/>
  <c r="H8" i="12"/>
  <c r="G8" i="12"/>
  <c r="F8" i="12"/>
  <c r="B8" i="12"/>
  <c r="J7" i="12"/>
  <c r="I7" i="12"/>
  <c r="H7" i="12"/>
  <c r="G7" i="12"/>
  <c r="F7" i="12"/>
  <c r="B7" i="12"/>
  <c r="J6" i="12"/>
  <c r="I6" i="12"/>
  <c r="H6" i="12"/>
  <c r="G6" i="12"/>
  <c r="F6" i="12"/>
  <c r="B6" i="12"/>
  <c r="J5" i="12"/>
  <c r="I5" i="12"/>
  <c r="H5" i="12"/>
  <c r="G5" i="12"/>
  <c r="F5" i="12"/>
  <c r="B5" i="12"/>
  <c r="J4" i="12"/>
  <c r="I4" i="12"/>
  <c r="H4" i="12"/>
  <c r="G4" i="12"/>
  <c r="F4" i="12"/>
  <c r="B4" i="12"/>
  <c r="J3" i="12"/>
  <c r="I3" i="12"/>
  <c r="H3" i="12"/>
  <c r="G3" i="12"/>
  <c r="F3" i="12"/>
  <c r="B3" i="12"/>
  <c r="J2" i="12"/>
  <c r="I2" i="12"/>
  <c r="H2" i="12"/>
  <c r="G2" i="12"/>
  <c r="K42" i="3" s="1"/>
  <c r="F2" i="12"/>
  <c r="B2" i="12"/>
  <c r="E17" i="9"/>
  <c r="D17" i="9"/>
  <c r="C17" i="9"/>
  <c r="G14" i="7"/>
  <c r="F14" i="7"/>
  <c r="E14" i="7"/>
  <c r="O13" i="6"/>
  <c r="N13" i="6"/>
  <c r="M13" i="6"/>
  <c r="L13" i="6"/>
  <c r="K13" i="6"/>
  <c r="J13" i="6"/>
  <c r="K47" i="4"/>
  <c r="K48" i="4" s="1"/>
  <c r="J28" i="4"/>
  <c r="J29" i="4" s="1"/>
  <c r="K6" i="4"/>
  <c r="I6" i="4"/>
  <c r="L6" i="4" s="1"/>
  <c r="K73" i="3"/>
  <c r="J73" i="3"/>
  <c r="I73" i="3"/>
  <c r="H62" i="3"/>
  <c r="H61" i="3"/>
  <c r="J59" i="3"/>
  <c r="H59" i="3"/>
  <c r="K58" i="3"/>
  <c r="H58" i="3"/>
  <c r="H57" i="3"/>
  <c r="H56" i="3"/>
  <c r="J54" i="3"/>
  <c r="H54" i="3"/>
  <c r="J53" i="3"/>
  <c r="H53" i="3"/>
  <c r="H52" i="3"/>
  <c r="H49" i="3"/>
  <c r="K48" i="3"/>
  <c r="J48" i="3"/>
  <c r="I48" i="3"/>
  <c r="H48" i="3"/>
  <c r="H43" i="3"/>
  <c r="H42" i="3"/>
  <c r="H41" i="3"/>
  <c r="H40" i="3"/>
  <c r="H39" i="3"/>
  <c r="H38" i="3"/>
  <c r="H37" i="3"/>
  <c r="H36" i="3"/>
  <c r="H35" i="3"/>
  <c r="H34" i="3"/>
  <c r="H33" i="3"/>
  <c r="H32" i="3"/>
  <c r="H31" i="3"/>
  <c r="H30" i="3"/>
  <c r="H29" i="3"/>
  <c r="H28" i="3"/>
  <c r="H27" i="3"/>
  <c r="H26" i="3"/>
  <c r="H25" i="3"/>
  <c r="H24" i="3"/>
  <c r="H18" i="3"/>
  <c r="H17" i="3"/>
  <c r="H12" i="3"/>
  <c r="H11" i="3"/>
  <c r="H10" i="3"/>
  <c r="H9" i="3"/>
  <c r="H7" i="3"/>
  <c r="H6" i="3"/>
  <c r="B24" i="2"/>
  <c r="B22" i="2"/>
  <c r="B21" i="2"/>
  <c r="B18" i="2"/>
  <c r="B17" i="2"/>
  <c r="B16" i="2"/>
  <c r="B12" i="2"/>
  <c r="B11" i="2"/>
  <c r="B10" i="2"/>
  <c r="B7" i="2"/>
  <c r="B6" i="2"/>
  <c r="I12" i="3" l="1"/>
  <c r="K50" i="3"/>
  <c r="I28" i="3"/>
  <c r="K17" i="3"/>
  <c r="K19" i="3" s="1"/>
  <c r="J28" i="3"/>
  <c r="I38" i="3"/>
  <c r="I49" i="3"/>
  <c r="L49" i="3" s="1"/>
  <c r="J10" i="4"/>
  <c r="K28" i="3"/>
  <c r="K10" i="4"/>
  <c r="J36" i="3"/>
  <c r="K30" i="4"/>
  <c r="K28" i="4"/>
  <c r="K29" i="4" s="1"/>
  <c r="K18" i="3"/>
  <c r="I29" i="3"/>
  <c r="I39" i="3"/>
  <c r="L39" i="3" s="1"/>
  <c r="K29" i="3"/>
  <c r="K39" i="3"/>
  <c r="J34" i="4"/>
  <c r="I7" i="3"/>
  <c r="J7" i="3"/>
  <c r="K34" i="4"/>
  <c r="J31" i="3"/>
  <c r="K16" i="4"/>
  <c r="K17" i="4" s="1"/>
  <c r="J16" i="4"/>
  <c r="J17" i="4" s="1"/>
  <c r="I41" i="3"/>
  <c r="L41" i="3" s="1"/>
  <c r="K53" i="3"/>
  <c r="I9" i="3"/>
  <c r="K31" i="3"/>
  <c r="L48" i="3"/>
  <c r="I30" i="3"/>
  <c r="J49" i="4"/>
  <c r="J50" i="4" s="1"/>
  <c r="J43" i="4"/>
  <c r="J44" i="4" s="1"/>
  <c r="J31" i="4"/>
  <c r="J25" i="4"/>
  <c r="J26" i="4" s="1"/>
  <c r="J13" i="4"/>
  <c r="J7" i="4"/>
  <c r="I40" i="3"/>
  <c r="J35" i="3"/>
  <c r="K30" i="3"/>
  <c r="K9" i="3"/>
  <c r="G7" i="7"/>
  <c r="I13" i="4"/>
  <c r="I35" i="3"/>
  <c r="J9" i="3"/>
  <c r="I25" i="4"/>
  <c r="J30" i="4"/>
  <c r="J32" i="4" s="1"/>
  <c r="J18" i="4"/>
  <c r="J19" i="4" s="1"/>
  <c r="J12" i="4"/>
  <c r="J6" i="4"/>
  <c r="J8" i="4" s="1"/>
  <c r="J39" i="3"/>
  <c r="K34" i="3"/>
  <c r="I30" i="4"/>
  <c r="I18" i="4"/>
  <c r="I12" i="4"/>
  <c r="K59" i="3"/>
  <c r="K54" i="3"/>
  <c r="J49" i="3"/>
  <c r="J50" i="3" s="1"/>
  <c r="I34" i="3"/>
  <c r="L34" i="3" s="1"/>
  <c r="J29" i="3"/>
  <c r="K24" i="3"/>
  <c r="J47" i="4"/>
  <c r="J48" i="4" s="1"/>
  <c r="J41" i="4"/>
  <c r="J42" i="4" s="1"/>
  <c r="J35" i="4"/>
  <c r="J36" i="4" s="1"/>
  <c r="J23" i="4"/>
  <c r="J24" i="4" s="1"/>
  <c r="I59" i="3"/>
  <c r="I54" i="3"/>
  <c r="J43" i="3"/>
  <c r="K38" i="3"/>
  <c r="I24" i="3"/>
  <c r="J18" i="3"/>
  <c r="I47" i="4"/>
  <c r="I35" i="4"/>
  <c r="I23" i="4"/>
  <c r="J38" i="3"/>
  <c r="K33" i="3"/>
  <c r="K12" i="3"/>
  <c r="I41" i="4"/>
  <c r="I43" i="3"/>
  <c r="L43" i="3" s="1"/>
  <c r="I18" i="3"/>
  <c r="L18" i="3" s="1"/>
  <c r="K7" i="3"/>
  <c r="I34" i="4"/>
  <c r="L34" i="4" s="1"/>
  <c r="I28" i="4"/>
  <c r="I16" i="4"/>
  <c r="I10" i="4"/>
  <c r="L10" i="4" s="1"/>
  <c r="I58" i="3"/>
  <c r="L58" i="3" s="1"/>
  <c r="I53" i="3"/>
  <c r="L53" i="3" s="1"/>
  <c r="J42" i="3"/>
  <c r="K37" i="3"/>
  <c r="J17" i="3"/>
  <c r="K11" i="3"/>
  <c r="K36" i="3"/>
  <c r="I42" i="3"/>
  <c r="L42" i="3" s="1"/>
  <c r="J37" i="3"/>
  <c r="K32" i="3"/>
  <c r="I17" i="3"/>
  <c r="K6" i="3"/>
  <c r="I62" i="3"/>
  <c r="L62" i="3" s="1"/>
  <c r="K39" i="4"/>
  <c r="K40" i="4" s="1"/>
  <c r="K33" i="4"/>
  <c r="K27" i="4"/>
  <c r="K9" i="4"/>
  <c r="K11" i="4" s="1"/>
  <c r="I37" i="3"/>
  <c r="L37" i="3" s="1"/>
  <c r="J32" i="3"/>
  <c r="K27" i="3"/>
  <c r="J11" i="3"/>
  <c r="J6" i="3"/>
  <c r="J8" i="3" s="1"/>
  <c r="D20" i="9" s="1"/>
  <c r="D21" i="9" s="1"/>
  <c r="I57" i="3"/>
  <c r="L57" i="3" s="1"/>
  <c r="J39" i="4"/>
  <c r="J40" i="4" s="1"/>
  <c r="J33" i="4"/>
  <c r="J27" i="4"/>
  <c r="J9" i="4"/>
  <c r="J11" i="4" s="1"/>
  <c r="K62" i="3"/>
  <c r="K57" i="3"/>
  <c r="K52" i="3"/>
  <c r="I32" i="3"/>
  <c r="J27" i="3"/>
  <c r="I11" i="3"/>
  <c r="L11" i="3" s="1"/>
  <c r="I6" i="3"/>
  <c r="I33" i="4"/>
  <c r="L33" i="4" s="1"/>
  <c r="J62" i="3"/>
  <c r="J52" i="3"/>
  <c r="J55" i="3" s="1"/>
  <c r="K41" i="3"/>
  <c r="I52" i="3"/>
  <c r="I39" i="4"/>
  <c r="I27" i="4"/>
  <c r="I9" i="4"/>
  <c r="J57" i="3"/>
  <c r="I27" i="3"/>
  <c r="L27" i="3" s="1"/>
  <c r="J41" i="3"/>
  <c r="K20" i="4"/>
  <c r="K21" i="4" s="1"/>
  <c r="J9" i="5" s="1"/>
  <c r="I20" i="4"/>
  <c r="K61" i="3"/>
  <c r="K63" i="3" s="1"/>
  <c r="K56" i="3"/>
  <c r="K60" i="3" s="1"/>
  <c r="I31" i="3"/>
  <c r="L31" i="3" s="1"/>
  <c r="J26" i="3"/>
  <c r="I10" i="3"/>
  <c r="J61" i="3"/>
  <c r="J56" i="3"/>
  <c r="K40" i="3"/>
  <c r="I26" i="3"/>
  <c r="L26" i="3" s="1"/>
  <c r="K49" i="4"/>
  <c r="K50" i="4" s="1"/>
  <c r="K43" i="4"/>
  <c r="K44" i="4" s="1"/>
  <c r="J18" i="5" s="1"/>
  <c r="K31" i="4"/>
  <c r="K25" i="4"/>
  <c r="K26" i="4" s="1"/>
  <c r="K13" i="4"/>
  <c r="K14" i="4" s="1"/>
  <c r="K7" i="4"/>
  <c r="K8" i="4" s="1"/>
  <c r="I61" i="3"/>
  <c r="I56" i="3"/>
  <c r="J40" i="3"/>
  <c r="K35" i="3"/>
  <c r="I49" i="4"/>
  <c r="I43" i="4"/>
  <c r="I31" i="4"/>
  <c r="L31" i="4" s="1"/>
  <c r="I7" i="4"/>
  <c r="L7" i="4" s="1"/>
  <c r="J30" i="3"/>
  <c r="K25" i="3"/>
  <c r="L25" i="3" s="1"/>
  <c r="J10" i="3"/>
  <c r="K10" i="3"/>
  <c r="I33" i="3"/>
  <c r="L33" i="3" s="1"/>
  <c r="J24" i="3"/>
  <c r="J33" i="3"/>
  <c r="K43" i="3"/>
  <c r="J20" i="4"/>
  <c r="J21" i="4" s="1"/>
  <c r="K41" i="4"/>
  <c r="K42" i="4" s="1"/>
  <c r="J17" i="5" s="1"/>
  <c r="E7" i="7"/>
  <c r="F7" i="7"/>
  <c r="J34" i="3"/>
  <c r="J12" i="3"/>
  <c r="K23" i="4"/>
  <c r="K24" i="4" s="1"/>
  <c r="J25" i="3"/>
  <c r="K26" i="3"/>
  <c r="I36" i="3"/>
  <c r="L36" i="3" s="1"/>
  <c r="J58" i="3"/>
  <c r="J13" i="5" l="1"/>
  <c r="K15" i="4"/>
  <c r="I17" i="5"/>
  <c r="L40" i="3"/>
  <c r="L29" i="3"/>
  <c r="J23" i="5"/>
  <c r="I35" i="5"/>
  <c r="J45" i="4"/>
  <c r="J32" i="5"/>
  <c r="K44" i="3"/>
  <c r="I29" i="4"/>
  <c r="L29" i="4" s="1"/>
  <c r="L28" i="4"/>
  <c r="K32" i="4"/>
  <c r="K37" i="4" s="1"/>
  <c r="J11" i="5" s="1"/>
  <c r="I14" i="4"/>
  <c r="L14" i="4" s="1"/>
  <c r="L12" i="4"/>
  <c r="L30" i="3"/>
  <c r="I11" i="4"/>
  <c r="L11" i="4" s="1"/>
  <c r="L9" i="4"/>
  <c r="L27" i="4"/>
  <c r="J14" i="5"/>
  <c r="I42" i="4"/>
  <c r="L42" i="4" s="1"/>
  <c r="L41" i="4"/>
  <c r="I19" i="4"/>
  <c r="L19" i="4" s="1"/>
  <c r="L18" i="4"/>
  <c r="I17" i="4"/>
  <c r="L16" i="4"/>
  <c r="I50" i="4"/>
  <c r="L50" i="4" s="1"/>
  <c r="L49" i="4"/>
  <c r="I60" i="3"/>
  <c r="L60" i="3" s="1"/>
  <c r="L56" i="3"/>
  <c r="I40" i="4"/>
  <c r="L39" i="4"/>
  <c r="I32" i="4"/>
  <c r="L32" i="4" s="1"/>
  <c r="L30" i="4"/>
  <c r="I44" i="4"/>
  <c r="L44" i="4" s="1"/>
  <c r="L43" i="4"/>
  <c r="I63" i="3"/>
  <c r="L61" i="3"/>
  <c r="I55" i="3"/>
  <c r="L52" i="3"/>
  <c r="L9" i="3"/>
  <c r="I13" i="3"/>
  <c r="L38" i="3"/>
  <c r="K45" i="4"/>
  <c r="J35" i="5"/>
  <c r="J15" i="4"/>
  <c r="K21" i="3"/>
  <c r="K8" i="3"/>
  <c r="E20" i="9" s="1"/>
  <c r="E21" i="9" s="1"/>
  <c r="I36" i="4"/>
  <c r="L36" i="4" s="1"/>
  <c r="L35" i="4"/>
  <c r="J14" i="4"/>
  <c r="J57" i="4"/>
  <c r="I7" i="5"/>
  <c r="J22" i="4"/>
  <c r="L28" i="3"/>
  <c r="F19" i="7"/>
  <c r="J20" i="3" s="1"/>
  <c r="F18" i="7"/>
  <c r="J22" i="3" s="1"/>
  <c r="J23" i="3" s="1"/>
  <c r="F17" i="7"/>
  <c r="J14" i="3" s="1"/>
  <c r="F20" i="7"/>
  <c r="J45" i="3" s="1"/>
  <c r="I19" i="3"/>
  <c r="L17" i="3"/>
  <c r="I48" i="4"/>
  <c r="L47" i="4"/>
  <c r="I8" i="5"/>
  <c r="J7" i="5"/>
  <c r="K57" i="4"/>
  <c r="K22" i="4"/>
  <c r="L12" i="3"/>
  <c r="I44" i="3"/>
  <c r="L24" i="3"/>
  <c r="I26" i="4"/>
  <c r="L26" i="4" s="1"/>
  <c r="L25" i="4"/>
  <c r="I8" i="4"/>
  <c r="J13" i="3"/>
  <c r="I9" i="5"/>
  <c r="K9" i="5" s="1"/>
  <c r="L35" i="3"/>
  <c r="I24" i="4"/>
  <c r="L23" i="4"/>
  <c r="L6" i="3"/>
  <c r="I8" i="3"/>
  <c r="J60" i="3"/>
  <c r="K55" i="3"/>
  <c r="L54" i="3"/>
  <c r="L13" i="4"/>
  <c r="L7" i="3"/>
  <c r="J8" i="5"/>
  <c r="L20" i="4"/>
  <c r="I21" i="4"/>
  <c r="L21" i="4" s="1"/>
  <c r="J63" i="3"/>
  <c r="J19" i="3"/>
  <c r="L59" i="3"/>
  <c r="G19" i="7"/>
  <c r="K20" i="3" s="1"/>
  <c r="G17" i="7"/>
  <c r="K14" i="3" s="1"/>
  <c r="G18" i="7"/>
  <c r="K22" i="3" s="1"/>
  <c r="K23" i="3" s="1"/>
  <c r="G20" i="7"/>
  <c r="K45" i="3" s="1"/>
  <c r="E18" i="7"/>
  <c r="I22" i="3" s="1"/>
  <c r="E19" i="7"/>
  <c r="I20" i="3" s="1"/>
  <c r="L20" i="3" s="1"/>
  <c r="E17" i="7"/>
  <c r="I14" i="3" s="1"/>
  <c r="E20" i="7"/>
  <c r="I45" i="3" s="1"/>
  <c r="L45" i="3" s="1"/>
  <c r="L32" i="3"/>
  <c r="J44" i="3"/>
  <c r="L10" i="3"/>
  <c r="J37" i="4"/>
  <c r="K13" i="3"/>
  <c r="I50" i="3"/>
  <c r="L50" i="3" s="1"/>
  <c r="L13" i="3" l="1"/>
  <c r="I15" i="3"/>
  <c r="L48" i="4"/>
  <c r="L63" i="3"/>
  <c r="I18" i="5"/>
  <c r="K18" i="5" s="1"/>
  <c r="I21" i="3"/>
  <c r="L21" i="3" s="1"/>
  <c r="L19" i="3"/>
  <c r="L55" i="3"/>
  <c r="K15" i="3"/>
  <c r="K16" i="3" s="1"/>
  <c r="K67" i="3" s="1"/>
  <c r="F21" i="7"/>
  <c r="K46" i="3"/>
  <c r="I37" i="4"/>
  <c r="L37" i="4" s="1"/>
  <c r="L24" i="4"/>
  <c r="J38" i="4"/>
  <c r="J46" i="4" s="1"/>
  <c r="J60" i="4" s="1"/>
  <c r="I10" i="5"/>
  <c r="K10" i="5" s="1"/>
  <c r="K7" i="5"/>
  <c r="I23" i="5"/>
  <c r="I32" i="5"/>
  <c r="I45" i="4"/>
  <c r="L40" i="4"/>
  <c r="L8" i="3"/>
  <c r="C20" i="9"/>
  <c r="C21" i="9" s="1"/>
  <c r="I15" i="5"/>
  <c r="J31" i="5"/>
  <c r="J33" i="5" s="1"/>
  <c r="E21" i="7"/>
  <c r="L8" i="4"/>
  <c r="I15" i="4"/>
  <c r="G21" i="7"/>
  <c r="K17" i="5"/>
  <c r="K69" i="3"/>
  <c r="L69" i="3" s="1"/>
  <c r="I13" i="5"/>
  <c r="I14" i="5"/>
  <c r="K14" i="5" s="1"/>
  <c r="J15" i="5"/>
  <c r="J16" i="5" s="1"/>
  <c r="I23" i="3"/>
  <c r="L23" i="3" s="1"/>
  <c r="L22" i="3"/>
  <c r="J15" i="3"/>
  <c r="J16" i="3" s="1"/>
  <c r="J67" i="3" s="1"/>
  <c r="I46" i="3"/>
  <c r="L44" i="3"/>
  <c r="K38" i="4"/>
  <c r="J69" i="3"/>
  <c r="J46" i="3"/>
  <c r="L14" i="3"/>
  <c r="I69" i="3"/>
  <c r="L17" i="4"/>
  <c r="I22" i="4"/>
  <c r="I57" i="4"/>
  <c r="L57" i="4" s="1"/>
  <c r="J21" i="3"/>
  <c r="J10" i="5"/>
  <c r="K46" i="4"/>
  <c r="K60" i="4" s="1"/>
  <c r="K8" i="5"/>
  <c r="D16" i="8" l="1"/>
  <c r="D17" i="8" s="1"/>
  <c r="D21" i="8"/>
  <c r="I31" i="5"/>
  <c r="I33" i="5" s="1"/>
  <c r="K23" i="5"/>
  <c r="L45" i="4"/>
  <c r="L46" i="3"/>
  <c r="I16" i="5"/>
  <c r="K16" i="5" s="1"/>
  <c r="K13" i="5"/>
  <c r="K47" i="3"/>
  <c r="K15" i="5"/>
  <c r="E16" i="8"/>
  <c r="E17" i="8" s="1"/>
  <c r="E21" i="8"/>
  <c r="L15" i="4"/>
  <c r="I16" i="3"/>
  <c r="L15" i="3"/>
  <c r="I38" i="4"/>
  <c r="L38" i="4" s="1"/>
  <c r="L22" i="4"/>
  <c r="J47" i="3"/>
  <c r="I11" i="5"/>
  <c r="K11" i="5" s="1"/>
  <c r="C16" i="8"/>
  <c r="C17" i="8" s="1"/>
  <c r="C21" i="8"/>
  <c r="I67" i="3" l="1"/>
  <c r="L67" i="3" s="1"/>
  <c r="L16" i="3"/>
  <c r="I46" i="4"/>
  <c r="I47" i="3"/>
  <c r="K68" i="3"/>
  <c r="K51" i="3"/>
  <c r="K56" i="4"/>
  <c r="J51" i="3"/>
  <c r="J68" i="3"/>
  <c r="J56" i="4"/>
  <c r="J55" i="4" l="1"/>
  <c r="J64" i="3"/>
  <c r="K55" i="4"/>
  <c r="K64" i="3"/>
  <c r="L47" i="3"/>
  <c r="I51" i="3"/>
  <c r="I68" i="3"/>
  <c r="I56" i="4"/>
  <c r="L56" i="4" s="1"/>
  <c r="L68" i="3"/>
  <c r="I60" i="4"/>
  <c r="L46" i="4"/>
  <c r="I55" i="4" l="1"/>
  <c r="L51" i="3"/>
  <c r="I64" i="3"/>
  <c r="K74" i="3"/>
  <c r="K75" i="3" s="1"/>
  <c r="K51" i="4"/>
  <c r="K52" i="4" s="1"/>
  <c r="K70" i="3"/>
  <c r="J6" i="5"/>
  <c r="J12" i="5" s="1"/>
  <c r="L55" i="4"/>
  <c r="J51" i="4"/>
  <c r="J52" i="4" s="1"/>
  <c r="J70" i="3"/>
  <c r="J74" i="3"/>
  <c r="J75" i="3" s="1"/>
  <c r="I6" i="5"/>
  <c r="J61" i="4" l="1"/>
  <c r="J62" i="4" s="1"/>
  <c r="J28" i="5"/>
  <c r="J27" i="5"/>
  <c r="I12" i="5"/>
  <c r="K6" i="5"/>
  <c r="K61" i="4"/>
  <c r="K62" i="4" s="1"/>
  <c r="J19" i="5"/>
  <c r="J20" i="5" s="1"/>
  <c r="J21" i="5" s="1"/>
  <c r="J22" i="5" s="1"/>
  <c r="J24" i="5" s="1"/>
  <c r="J34" i="5" s="1"/>
  <c r="J36" i="5" s="1"/>
  <c r="I70" i="3"/>
  <c r="L70" i="3" s="1"/>
  <c r="I51" i="4"/>
  <c r="I74" i="3"/>
  <c r="I75" i="3" s="1"/>
  <c r="L64" i="3"/>
  <c r="L51" i="4" l="1"/>
  <c r="I52" i="4"/>
  <c r="I28" i="5"/>
  <c r="K12" i="5"/>
  <c r="I27" i="5"/>
  <c r="K27" i="5"/>
  <c r="K28" i="5"/>
  <c r="I61" i="4" l="1"/>
  <c r="I62" i="4" s="1"/>
  <c r="L52" i="4"/>
  <c r="I19" i="5"/>
  <c r="I20" i="5" l="1"/>
  <c r="K19" i="5"/>
  <c r="K20" i="5" l="1"/>
  <c r="I21" i="5"/>
  <c r="K21" i="5" l="1"/>
  <c r="I22" i="5"/>
  <c r="K22" i="5" l="1"/>
  <c r="I24" i="5"/>
  <c r="K24" i="5" l="1"/>
  <c r="I34" i="5"/>
  <c r="I36" i="5" s="1"/>
</calcChain>
</file>

<file path=xl/sharedStrings.xml><?xml version="1.0" encoding="utf-8"?>
<sst xmlns="http://schemas.openxmlformats.org/spreadsheetml/2006/main" count="1772" uniqueCount="580">
  <si>
    <t>ALETHEIA INSIGHT</t>
  </si>
  <si>
    <t>Analyse financière automatisée</t>
  </si>
  <si>
    <t>Exemple SAS</t>
  </si>
  <si>
    <t>Analyse financière  —  FY2021 à FY2023</t>
  </si>
  <si>
    <t>Secteur</t>
  </si>
  <si>
    <t>Services</t>
  </si>
  <si>
    <t>Devise</t>
  </si>
  <si>
    <t>EUR</t>
  </si>
  <si>
    <t>Périodes couvertes</t>
  </si>
  <si>
    <t>FY2021, FY2022, FY2023</t>
  </si>
  <si>
    <t>Date de préparation</t>
  </si>
  <si>
    <t>16 avril 2026</t>
  </si>
  <si>
    <t xml:space="preserve">  ⓘ   Données fictives — exemple de livrable à titre démonstratif.</t>
  </si>
  <si>
    <t>CE QUE CONTIENT CE CLASSEUR</t>
  </si>
  <si>
    <t xml:space="preserve">  ✓   États financiers retraités</t>
  </si>
  <si>
    <t>Compte de résultat, bilan, tableau des flux de trésorerie.</t>
  </si>
  <si>
    <t xml:space="preserve">  ✓   Analyses de détail</t>
  </si>
  <si>
    <t xml:space="preserve">  ✓   Rapprochement</t>
  </si>
  <si>
    <t>Généré automatiquement par Aletheia</t>
  </si>
  <si>
    <t xml:space="preserve">  CONFIDENTIEL</t>
  </si>
  <si>
    <t>Sommaire</t>
  </si>
  <si>
    <t>SYNTHÈSE</t>
  </si>
  <si>
    <t>Constats clés, chiffres d'ancrage et points de vigilance.</t>
  </si>
  <si>
    <t>Page de garde, informations de l'entité.</t>
  </si>
  <si>
    <t>ÉTATS FINANCIERS</t>
  </si>
  <si>
    <t>Compte de résultat - vision annuelle retraitée.</t>
  </si>
  <si>
    <t>Bilan - vision annuelle, agrégats synthétiques.</t>
  </si>
  <si>
    <t>Tableau des flux de trésorerie - méthode indirecte.</t>
  </si>
  <si>
    <t>ANALYSES DE DÉTAIL</t>
  </si>
  <si>
    <t>Allocation des coûts de personnel par fonction.</t>
  </si>
  <si>
    <t>Top 10 fournisseurs sur les trois exercices.</t>
  </si>
  <si>
    <t>Top 10 clients sur les trois exercices.</t>
  </si>
  <si>
    <t>SOURCES ET TRAÇABILITÉ</t>
  </si>
  <si>
    <t>Mapping PCG : 127 comptes classés.</t>
  </si>
  <si>
    <t>Balance générale agrégée par exercice.</t>
  </si>
  <si>
    <t>Limitations juridiques et conditions d'usage.</t>
  </si>
  <si>
    <t>Compte de résultat</t>
  </si>
  <si>
    <t>Compte de résultat, FY2021 - FY2023</t>
  </si>
  <si>
    <t>Etat financier</t>
  </si>
  <si>
    <t>Section</t>
  </si>
  <si>
    <t>SubSection1</t>
  </si>
  <si>
    <t>SubSection2</t>
  </si>
  <si>
    <t>SubSection3</t>
  </si>
  <si>
    <t>En k EUR</t>
  </si>
  <si>
    <t>FY2021</t>
  </si>
  <si>
    <t>FY2022</t>
  </si>
  <si>
    <t>FY2023</t>
  </si>
  <si>
    <t>CAGR</t>
  </si>
  <si>
    <t>PL</t>
  </si>
  <si>
    <t>EBITDA</t>
  </si>
  <si>
    <t>Chiffre d'affaires</t>
  </si>
  <si>
    <t>Prestations de services</t>
  </si>
  <si>
    <t>Ventes de produits finis</t>
  </si>
  <si>
    <t>REVENUE</t>
  </si>
  <si>
    <t>*</t>
  </si>
  <si>
    <t>Coût des marchandises vendues</t>
  </si>
  <si>
    <t>Charges hors personnel</t>
  </si>
  <si>
    <t>Achat de matières premières</t>
  </si>
  <si>
    <t>Variation des stocks de matières premières</t>
  </si>
  <si>
    <t>Fournitures d'entretien</t>
  </si>
  <si>
    <t>Sous-traitance</t>
  </si>
  <si>
    <t>Coûts de sous-traitance</t>
  </si>
  <si>
    <t>Coûts directs - Hors personnel</t>
  </si>
  <si>
    <t>PERSONNEL_COGS</t>
  </si>
  <si>
    <t>Coûts directs - Personnel</t>
  </si>
  <si>
    <t>COGS_DIRECT</t>
  </si>
  <si>
    <t xml:space="preserve"> Coûts directs</t>
  </si>
  <si>
    <t>GROSS_PROFIT</t>
  </si>
  <si>
    <t>Marge brute</t>
  </si>
  <si>
    <t>Ventes &amp; Marketing</t>
  </si>
  <si>
    <t>Déplacements &amp; Missions</t>
  </si>
  <si>
    <t>Annonces et insertions</t>
  </si>
  <si>
    <t>V&amp;M - Hors personnel</t>
  </si>
  <si>
    <t>PERSONNEL_SM</t>
  </si>
  <si>
    <t>V&amp;M - Personnel</t>
  </si>
  <si>
    <t>OPEX_SM</t>
  </si>
  <si>
    <t xml:space="preserve">  Ventes &amp; Marketing</t>
  </si>
  <si>
    <t>PERSONNEL_RD</t>
  </si>
  <si>
    <t>R&amp;D - Personnel</t>
  </si>
  <si>
    <t>OPEX_RD</t>
  </si>
  <si>
    <t>Recherche et développement</t>
  </si>
  <si>
    <t>Frais généraux</t>
  </si>
  <si>
    <t>Honoraires professionnels</t>
  </si>
  <si>
    <t>Entretien &amp; Réparations</t>
  </si>
  <si>
    <t>Loyer immobilier</t>
  </si>
  <si>
    <t>Loyer</t>
  </si>
  <si>
    <t>Réceptions</t>
  </si>
  <si>
    <t>Frais de dossier de prêt</t>
  </si>
  <si>
    <t>Énergie &amp; Fluides</t>
  </si>
  <si>
    <t>Loyer de matériel</t>
  </si>
  <si>
    <t>Télécommunications</t>
  </si>
  <si>
    <t>Autres impôts et taxes</t>
  </si>
  <si>
    <t>Déplacements</t>
  </si>
  <si>
    <t>Primes d'assurance</t>
  </si>
  <si>
    <t>Affranchissement et télécommunications</t>
  </si>
  <si>
    <t>Abonnements</t>
  </si>
  <si>
    <t>Services exploités pour compte propre</t>
  </si>
  <si>
    <t>Frais de titres</t>
  </si>
  <si>
    <t>Documentation générale</t>
  </si>
  <si>
    <t>Études</t>
  </si>
  <si>
    <t>Divers</t>
  </si>
  <si>
    <t>Pénalités et autres charges</t>
  </si>
  <si>
    <t>Frais généraux - Hors Personnel</t>
  </si>
  <si>
    <t>PERSONNEL_GA</t>
  </si>
  <si>
    <t>Frais généraux - Personnel</t>
  </si>
  <si>
    <t>OPEX_GA</t>
  </si>
  <si>
    <t>Amortissements et dépréciations</t>
  </si>
  <si>
    <t>Amortissement des immobilisations incorporelles</t>
  </si>
  <si>
    <t>Dotations aux amortissements des immobilisations corporelles</t>
  </si>
  <si>
    <t>DA</t>
  </si>
  <si>
    <t>EBIT</t>
  </si>
  <si>
    <t>Sous EBIT</t>
  </si>
  <si>
    <t>Résultat financier</t>
  </si>
  <si>
    <t>Autres produits financiers</t>
  </si>
  <si>
    <t>Gains de change - Financiers</t>
  </si>
  <si>
    <t>Gains &amp; Pertes de change</t>
  </si>
  <si>
    <t>Intérêts sur emprunts</t>
  </si>
  <si>
    <t>FINANCIAL</t>
  </si>
  <si>
    <t>Résultat exceptionnel</t>
  </si>
  <si>
    <t>Ajustements exercice antérieur (Charge)</t>
  </si>
  <si>
    <t>Ajustements exercice antérieur (Produit)</t>
  </si>
  <si>
    <t>Indemnités et autres produits</t>
  </si>
  <si>
    <t>Transferts de charges d'exploitation</t>
  </si>
  <si>
    <t>EXCEPTIONAL</t>
  </si>
  <si>
    <t>Impôt sur les sociétés</t>
  </si>
  <si>
    <t>Charge d'impôt sur les bénéfices</t>
  </si>
  <si>
    <t>Reports de déficits fiscaux</t>
  </si>
  <si>
    <t>CIT</t>
  </si>
  <si>
    <t>NET_INCOME</t>
  </si>
  <si>
    <t>Résultat net</t>
  </si>
  <si>
    <t>KPIs</t>
  </si>
  <si>
    <t>Var.</t>
  </si>
  <si>
    <t>Marge brute %</t>
  </si>
  <si>
    <t>Marge EBITDA %</t>
  </si>
  <si>
    <t>Personnel % CA</t>
  </si>
  <si>
    <t>Marge nette %</t>
  </si>
  <si>
    <t>Contrôles</t>
  </si>
  <si>
    <t>Total Comptable</t>
  </si>
  <si>
    <t>Résultat net calculé</t>
  </si>
  <si>
    <t>Difference</t>
  </si>
  <si>
    <t>→  Généré par Aletheia  •  aletheia-insight.com</t>
  </si>
  <si>
    <t>Bilan</t>
  </si>
  <si>
    <t>Bilan, FY2021 - FY2023</t>
  </si>
  <si>
    <t>Code</t>
  </si>
  <si>
    <t>BS</t>
  </si>
  <si>
    <t>Immobilisations</t>
  </si>
  <si>
    <t>Immobilisations incorporelles</t>
  </si>
  <si>
    <t>Toutes immobilisations incorporelles</t>
  </si>
  <si>
    <t xml:space="preserve">    Toutes immobilisations incorporelles</t>
  </si>
  <si>
    <t>Amortissements et dépréciations cumulés</t>
  </si>
  <si>
    <t xml:space="preserve">    Amortissements et dépréciations cumulés</t>
  </si>
  <si>
    <t>FA_INTANG</t>
  </si>
  <si>
    <t xml:space="preserve">  Immobilisations incorporelles nettes</t>
  </si>
  <si>
    <t>Immobilisations corporelles</t>
  </si>
  <si>
    <t>Toutes immobilisations corporelles</t>
  </si>
  <si>
    <t xml:space="preserve">    Toutes immobilisations corporelles</t>
  </si>
  <si>
    <t>FA_TANG</t>
  </si>
  <si>
    <t xml:space="preserve">  Immobilisations corporelles nettes</t>
  </si>
  <si>
    <t>Immobilisations financières</t>
  </si>
  <si>
    <t>Autres éléments financiers</t>
  </si>
  <si>
    <t xml:space="preserve">    Autres éléments financiers</t>
  </si>
  <si>
    <t>Titres de participation</t>
  </si>
  <si>
    <t xml:space="preserve">    Titres de participation</t>
  </si>
  <si>
    <t>FA_FIN</t>
  </si>
  <si>
    <t xml:space="preserve">  Immobilisations financières nettes</t>
  </si>
  <si>
    <t>FIXED_ASSETS</t>
  </si>
  <si>
    <t>Immobilisations nettes</t>
  </si>
  <si>
    <t>Actifs courants</t>
  </si>
  <si>
    <t>Stocks</t>
  </si>
  <si>
    <t>Matières premières</t>
  </si>
  <si>
    <t xml:space="preserve">    Matières premières</t>
  </si>
  <si>
    <t>WC_INV</t>
  </si>
  <si>
    <t xml:space="preserve">  Stocks nets</t>
  </si>
  <si>
    <t>Créances clients</t>
  </si>
  <si>
    <t>Clients</t>
  </si>
  <si>
    <t xml:space="preserve">    Clients</t>
  </si>
  <si>
    <t>WC_TR_REC</t>
  </si>
  <si>
    <t xml:space="preserve">  Créances clients nettes</t>
  </si>
  <si>
    <t>Passifs courants</t>
  </si>
  <si>
    <t>Dettes fournisseurs</t>
  </si>
  <si>
    <t>Fournisseurs</t>
  </si>
  <si>
    <t xml:space="preserve">    Fournisseurs</t>
  </si>
  <si>
    <t>WC_TR_PAY</t>
  </si>
  <si>
    <t xml:space="preserve">  Dettes fournisseurs</t>
  </si>
  <si>
    <t>TRADE_WC</t>
  </si>
  <si>
    <t>BFR commercial</t>
  </si>
  <si>
    <t>Autres créances</t>
  </si>
  <si>
    <t>Débiteurs divers</t>
  </si>
  <si>
    <t xml:space="preserve">    Débiteurs divers</t>
  </si>
  <si>
    <t>WC_OTH_REC</t>
  </si>
  <si>
    <t xml:space="preserve">  Autres créances</t>
  </si>
  <si>
    <t>Charges constatées d'avance</t>
  </si>
  <si>
    <t>Charges à payer</t>
  </si>
  <si>
    <t xml:space="preserve">    Charges à payer</t>
  </si>
  <si>
    <t>WC_PREPAID</t>
  </si>
  <si>
    <t xml:space="preserve">  Charges constatées d'avance</t>
  </si>
  <si>
    <t>WC_OTH_PAY</t>
  </si>
  <si>
    <t xml:space="preserve">  Autres dettes</t>
  </si>
  <si>
    <t>Dettes sociales</t>
  </si>
  <si>
    <t>Charges sociales</t>
  </si>
  <si>
    <t xml:space="preserve">    Charges sociales</t>
  </si>
  <si>
    <t>WC_SOCIAL</t>
  </si>
  <si>
    <t xml:space="preserve">  Dettes sociales</t>
  </si>
  <si>
    <t>État et collectivités</t>
  </si>
  <si>
    <t>TVA</t>
  </si>
  <si>
    <t>Dettes fiscales</t>
  </si>
  <si>
    <t>WC_VAT</t>
  </si>
  <si>
    <t xml:space="preserve">  TVA à décaisser / récupérable</t>
  </si>
  <si>
    <t xml:space="preserve">  Impôt sur les bénéfices à payer</t>
  </si>
  <si>
    <t xml:space="preserve">  Autres dettes fiscales</t>
  </si>
  <si>
    <t>Personnel</t>
  </si>
  <si>
    <t>Masse salariale</t>
  </si>
  <si>
    <t xml:space="preserve">    Masse salariale</t>
  </si>
  <si>
    <t>WC_PERSONNEL</t>
  </si>
  <si>
    <t xml:space="preserve">  Dettes de paie</t>
  </si>
  <si>
    <t>NON_TRADE_WC</t>
  </si>
  <si>
    <t>BFR non-commercial</t>
  </si>
  <si>
    <t>WORKING_CAPITAL</t>
  </si>
  <si>
    <t>Besoin en fonds de roulement</t>
  </si>
  <si>
    <t>Trésorerie</t>
  </si>
  <si>
    <t>Comptes bancaires</t>
  </si>
  <si>
    <t>Banque</t>
  </si>
  <si>
    <t xml:space="preserve">    Banque</t>
  </si>
  <si>
    <t>ND_CASH</t>
  </si>
  <si>
    <t xml:space="preserve">  Trésorerie et équivalents</t>
  </si>
  <si>
    <t>Dettes long terme</t>
  </si>
  <si>
    <t>Emprunts</t>
  </si>
  <si>
    <t>Tous emprunts</t>
  </si>
  <si>
    <t xml:space="preserve">    Tous emprunts</t>
  </si>
  <si>
    <t>ND_LT_DEBT</t>
  </si>
  <si>
    <t xml:space="preserve">  Emprunts bancaires</t>
  </si>
  <si>
    <t>Groupe / Associés</t>
  </si>
  <si>
    <t>Comptes groupe</t>
  </si>
  <si>
    <t xml:space="preserve">    Comptes groupe</t>
  </si>
  <si>
    <t>ND_GROUP</t>
  </si>
  <si>
    <t xml:space="preserve">  Comptes courants</t>
  </si>
  <si>
    <t>NET_DEBT</t>
  </si>
  <si>
    <t>Trésorerie nette / (dette financière nette)</t>
  </si>
  <si>
    <t>NET_ASSETS</t>
  </si>
  <si>
    <t>Actif net</t>
  </si>
  <si>
    <t>Capitaux propres</t>
  </si>
  <si>
    <t>Capital</t>
  </si>
  <si>
    <t>Capital social</t>
  </si>
  <si>
    <t xml:space="preserve">    Capital social</t>
  </si>
  <si>
    <t>EQUITY_CAPITAL</t>
  </si>
  <si>
    <t xml:space="preserve">  Capital social et réserves</t>
  </si>
  <si>
    <t>Report à nouveau</t>
  </si>
  <si>
    <t xml:space="preserve">  Report à nouveau</t>
  </si>
  <si>
    <t>EQUITY_RE</t>
  </si>
  <si>
    <t xml:space="preserve">  Résultat net de l'exercice (du CR)</t>
  </si>
  <si>
    <t>NET_EQUITY</t>
  </si>
  <si>
    <t xml:space="preserve">  ROCE (EBIT / Actif économique)</t>
  </si>
  <si>
    <t xml:space="preserve">  Dette nette / EBITDA</t>
  </si>
  <si>
    <t xml:space="preserve">  Ratio de liquidité</t>
  </si>
  <si>
    <t>Checks</t>
  </si>
  <si>
    <t xml:space="preserve">  Net Assets</t>
  </si>
  <si>
    <t xml:space="preserve">  Net Equity</t>
  </si>
  <si>
    <t xml:space="preserve">  Arithmetic Check (Δ)</t>
  </si>
  <si>
    <t>Tableau des flux de trésorerie</t>
  </si>
  <si>
    <t>Tableau des flux de trésorerie, FY2022 - FY2023</t>
  </si>
  <si>
    <t xml:space="preserve">  Résultat net</t>
  </si>
  <si>
    <t xml:space="preserve">    Δ Stocks</t>
  </si>
  <si>
    <t xml:space="preserve">    Δ Créances clients</t>
  </si>
  <si>
    <t xml:space="preserve">    Δ Dettes fournisseurs</t>
  </si>
  <si>
    <t>CFO_TRADE_WC</t>
  </si>
  <si>
    <t xml:space="preserve">  Δ BFR commercial</t>
  </si>
  <si>
    <t xml:space="preserve">  Δ BFR non-commercial</t>
  </si>
  <si>
    <t>CFO</t>
  </si>
  <si>
    <t>Flux de trésorerie d'exploitation</t>
  </si>
  <si>
    <t xml:space="preserve">  Δ Immobilisations incorporelles</t>
  </si>
  <si>
    <t xml:space="preserve">  Δ Immobilisations corporelles</t>
  </si>
  <si>
    <t xml:space="preserve">  Δ Immobilisations financières</t>
  </si>
  <si>
    <t>CFI</t>
  </si>
  <si>
    <t>Flux de trésorerie d'investissement</t>
  </si>
  <si>
    <t xml:space="preserve">  Δ Emprunts bancaires</t>
  </si>
  <si>
    <t xml:space="preserve">  Δ Comptes courants</t>
  </si>
  <si>
    <t xml:space="preserve">  Δ Capitaux propres (aide)</t>
  </si>
  <si>
    <t>CFF_EQUITY</t>
  </si>
  <si>
    <t xml:space="preserve">  Variations de capitaux (hors résultat net)</t>
  </si>
  <si>
    <t>CFF</t>
  </si>
  <si>
    <t>Flux de trésorerie de financement</t>
  </si>
  <si>
    <t>NET_CASH_FLOW</t>
  </si>
  <si>
    <t>Variation nette de trésorerie</t>
  </si>
  <si>
    <t>Trésorerie d'ouverture</t>
  </si>
  <si>
    <t>CASH_CLOSING</t>
  </si>
  <si>
    <t>Trésorerie de clôture</t>
  </si>
  <si>
    <t xml:space="preserve">  Flux de trésorerie disponible</t>
  </si>
  <si>
    <t xml:space="preserve">  Conversion en trésorerie</t>
  </si>
  <si>
    <t xml:space="preserve">  Cash Opening (CF)</t>
  </si>
  <si>
    <t xml:space="preserve">  Cash Opening (BS)</t>
  </si>
  <si>
    <t xml:space="preserve">  Δ Opening</t>
  </si>
  <si>
    <t xml:space="preserve">  Cash Closing (CF)</t>
  </si>
  <si>
    <t xml:space="preserve">  Cash Closing (BS)</t>
  </si>
  <si>
    <t xml:space="preserve">  Δ Closing</t>
  </si>
  <si>
    <t>Liste des employés</t>
  </si>
  <si>
    <t>Employé</t>
  </si>
  <si>
    <t>Contrat</t>
  </si>
  <si>
    <t>Entrée</t>
  </si>
  <si>
    <t>Sortie</t>
  </si>
  <si>
    <t>ETP</t>
  </si>
  <si>
    <t>Département</t>
  </si>
  <si>
    <t>Fonction</t>
  </si>
  <si>
    <t>Classification</t>
  </si>
  <si>
    <t>Allocation</t>
  </si>
  <si>
    <t>Brut FY2021</t>
  </si>
  <si>
    <t>Coût total FY2021</t>
  </si>
  <si>
    <t>Brut FY2022</t>
  </si>
  <si>
    <t>Coût total FY2022</t>
  </si>
  <si>
    <t>Brut FY2023</t>
  </si>
  <si>
    <t>Coût total FY2023</t>
  </si>
  <si>
    <t>[Employe 1]</t>
  </si>
  <si>
    <t>CDI</t>
  </si>
  <si>
    <t>01/2018</t>
  </si>
  <si>
    <t>n.c.</t>
  </si>
  <si>
    <t>Direction</t>
  </si>
  <si>
    <t>cadre</t>
  </si>
  <si>
    <t>[Employe 2]</t>
  </si>
  <si>
    <t>09/2019</t>
  </si>
  <si>
    <t>Bureau d'études</t>
  </si>
  <si>
    <t>Ingénieur</t>
  </si>
  <si>
    <t>R&amp;D</t>
  </si>
  <si>
    <t>[Employe 3]</t>
  </si>
  <si>
    <t>06/2020</t>
  </si>
  <si>
    <t>12/2022</t>
  </si>
  <si>
    <t>Administration</t>
  </si>
  <si>
    <t>non-cadre</t>
  </si>
  <si>
    <t>[Employe 4]</t>
  </si>
  <si>
    <t>04/2022</t>
  </si>
  <si>
    <t>Technique</t>
  </si>
  <si>
    <t>Technicien</t>
  </si>
  <si>
    <t>Coûts des ventes</t>
  </si>
  <si>
    <t>[Employe 5]</t>
  </si>
  <si>
    <t>01/2023</t>
  </si>
  <si>
    <t>Commercial</t>
  </si>
  <si>
    <t>[Employe 6]</t>
  </si>
  <si>
    <t>03/2023</t>
  </si>
  <si>
    <t>[Employe 7]</t>
  </si>
  <si>
    <t>apprentissage</t>
  </si>
  <si>
    <t>09/2023</t>
  </si>
  <si>
    <t>Apprenti</t>
  </si>
  <si>
    <t>[Employe 8]</t>
  </si>
  <si>
    <t>stage</t>
  </si>
  <si>
    <t>07/2023</t>
  </si>
  <si>
    <t>12/2023</t>
  </si>
  <si>
    <t>Stagiaire</t>
  </si>
  <si>
    <t>Total</t>
  </si>
  <si>
    <t>Allocation des coûts RH</t>
  </si>
  <si>
    <t>Allocation des coûts de personnel, FY2021 - FY2023</t>
  </si>
  <si>
    <t>TOTAL</t>
  </si>
  <si>
    <t>Total Charges de Personnel</t>
  </si>
  <si>
    <t>Allocation (%)</t>
  </si>
  <si>
    <t>CHECK</t>
  </si>
  <si>
    <t xml:space="preserve">  Total %</t>
  </si>
  <si>
    <t>Montants alloués (en k EUR)</t>
  </si>
  <si>
    <t>→ Coûts des ventes</t>
  </si>
  <si>
    <t>→ R&amp;D</t>
  </si>
  <si>
    <t>→ Commercial</t>
  </si>
  <si>
    <t>→ Frais généraux</t>
  </si>
  <si>
    <t xml:space="preserve">  Écart</t>
  </si>
  <si>
    <t>Top 10 Fournisseurs, FY2021 - FY2023</t>
  </si>
  <si>
    <t>Contrepartie</t>
  </si>
  <si>
    <t>Fournisseur 1</t>
  </si>
  <si>
    <t>Fournisseur 2</t>
  </si>
  <si>
    <t>Fournisseur 3</t>
  </si>
  <si>
    <t>Fournisseur 4</t>
  </si>
  <si>
    <t>Fournisseur 5</t>
  </si>
  <si>
    <t>Fournisseur 6</t>
  </si>
  <si>
    <t>Fournisseur 7</t>
  </si>
  <si>
    <t>Fournisseur 8</t>
  </si>
  <si>
    <t>Fournisseur 9</t>
  </si>
  <si>
    <t>Fournisseur 10</t>
  </si>
  <si>
    <t>Autres</t>
  </si>
  <si>
    <t>Total charges</t>
  </si>
  <si>
    <t>Arithmetic Check (Δ)</t>
  </si>
  <si>
    <t>Top 10 Clients, FY2021 - FY2023</t>
  </si>
  <si>
    <t>Client 1</t>
  </si>
  <si>
    <t>Client 2</t>
  </si>
  <si>
    <t>Client 3</t>
  </si>
  <si>
    <t>Client 4</t>
  </si>
  <si>
    <t>Client 5</t>
  </si>
  <si>
    <t>Client 6</t>
  </si>
  <si>
    <t>Client 7</t>
  </si>
  <si>
    <t>Client 8</t>
  </si>
  <si>
    <t>Client 9</t>
  </si>
  <si>
    <t>Client 10</t>
  </si>
  <si>
    <t>Total chiffre d'affaire</t>
  </si>
  <si>
    <t>N° Compte</t>
  </si>
  <si>
    <t>État financier</t>
  </si>
  <si>
    <t>Sous-section 1</t>
  </si>
  <si>
    <t>Sous-section 2</t>
  </si>
  <si>
    <t>Sous-section 3</t>
  </si>
  <si>
    <t>1013</t>
  </si>
  <si>
    <t>Capital versé</t>
  </si>
  <si>
    <t>10611</t>
  </si>
  <si>
    <t>Réserve légale</t>
  </si>
  <si>
    <t>1068</t>
  </si>
  <si>
    <t>Autres réserves</t>
  </si>
  <si>
    <t>119</t>
  </si>
  <si>
    <t>Déficit cumulé (Débit)</t>
  </si>
  <si>
    <t>120</t>
  </si>
  <si>
    <t>Résultat de l'exercice</t>
  </si>
  <si>
    <t>Bénéfice net</t>
  </si>
  <si>
    <t>129</t>
  </si>
  <si>
    <t>Perte nette</t>
  </si>
  <si>
    <t>1644</t>
  </si>
  <si>
    <t>Emprunts bancaires</t>
  </si>
  <si>
    <t>201</t>
  </si>
  <si>
    <t>Frais d'établissement</t>
  </si>
  <si>
    <t>205</t>
  </si>
  <si>
    <t>2051</t>
  </si>
  <si>
    <t>2183</t>
  </si>
  <si>
    <t>Matériel de bureau &amp; Informatique</t>
  </si>
  <si>
    <t>2184</t>
  </si>
  <si>
    <t>Mobilier et agencements</t>
  </si>
  <si>
    <t>261</t>
  </si>
  <si>
    <t>275</t>
  </si>
  <si>
    <t>Dépôts et cautionnements versés</t>
  </si>
  <si>
    <t>2801</t>
  </si>
  <si>
    <t>Amortissement des frais d'établissement</t>
  </si>
  <si>
    <t>28051</t>
  </si>
  <si>
    <t>28183</t>
  </si>
  <si>
    <t>Amortissement des autres immobilisations corporelles</t>
  </si>
  <si>
    <t>28184</t>
  </si>
  <si>
    <t>310</t>
  </si>
  <si>
    <t>Matières premières et approvisionnements</t>
  </si>
  <si>
    <t>401</t>
  </si>
  <si>
    <t>4081</t>
  </si>
  <si>
    <t>Fournisseurs - Charges à payer</t>
  </si>
  <si>
    <t>4091</t>
  </si>
  <si>
    <t>Avances aux fournisseurs</t>
  </si>
  <si>
    <t>4098</t>
  </si>
  <si>
    <t>Fournisseurs - Soldes débiteurs</t>
  </si>
  <si>
    <t>411</t>
  </si>
  <si>
    <t>421</t>
  </si>
  <si>
    <t>Salaires à payer</t>
  </si>
  <si>
    <t>4282</t>
  </si>
  <si>
    <t>Congés à payer</t>
  </si>
  <si>
    <t>431</t>
  </si>
  <si>
    <t>Sécurité sociale</t>
  </si>
  <si>
    <t>4373</t>
  </si>
  <si>
    <t>Autres charges sociales</t>
  </si>
  <si>
    <t>4375</t>
  </si>
  <si>
    <t>4376</t>
  </si>
  <si>
    <t>4378</t>
  </si>
  <si>
    <t>4382</t>
  </si>
  <si>
    <t>Charges sociales à payer</t>
  </si>
  <si>
    <t>4421</t>
  </si>
  <si>
    <t>Taxes collectées</t>
  </si>
  <si>
    <t>444</t>
  </si>
  <si>
    <t>Impôt sur les sociétés à payer</t>
  </si>
  <si>
    <t>4452</t>
  </si>
  <si>
    <t>445202</t>
  </si>
  <si>
    <t>44551</t>
  </si>
  <si>
    <t>44562</t>
  </si>
  <si>
    <t>44566</t>
  </si>
  <si>
    <t>445669</t>
  </si>
  <si>
    <t>44567</t>
  </si>
  <si>
    <t>445711</t>
  </si>
  <si>
    <t>445718</t>
  </si>
  <si>
    <t>4458</t>
  </si>
  <si>
    <t>44583</t>
  </si>
  <si>
    <t>Régularisations de TVA</t>
  </si>
  <si>
    <t>44586</t>
  </si>
  <si>
    <t>4486</t>
  </si>
  <si>
    <t>Charges à payer - État</t>
  </si>
  <si>
    <t>44862</t>
  </si>
  <si>
    <t>44863</t>
  </si>
  <si>
    <t>4551</t>
  </si>
  <si>
    <t>Comptes courants d'associés</t>
  </si>
  <si>
    <t>4552</t>
  </si>
  <si>
    <t>4553</t>
  </si>
  <si>
    <t>457</t>
  </si>
  <si>
    <t>Dividendes à payer</t>
  </si>
  <si>
    <t>4671</t>
  </si>
  <si>
    <t>Autres débiteurs</t>
  </si>
  <si>
    <t>4672</t>
  </si>
  <si>
    <t>4687</t>
  </si>
  <si>
    <t>Autres créditeurs</t>
  </si>
  <si>
    <t>486</t>
  </si>
  <si>
    <t>5121</t>
  </si>
  <si>
    <t>Comptes en euros</t>
  </si>
  <si>
    <t>5122</t>
  </si>
  <si>
    <t>5123</t>
  </si>
  <si>
    <t>580</t>
  </si>
  <si>
    <t>Transferts internes</t>
  </si>
  <si>
    <t>Virements de trésorerie</t>
  </si>
  <si>
    <t>601</t>
  </si>
  <si>
    <t>6031</t>
  </si>
  <si>
    <t>604</t>
  </si>
  <si>
    <t>6063</t>
  </si>
  <si>
    <t>6064</t>
  </si>
  <si>
    <t>606401</t>
  </si>
  <si>
    <t>Fournitures</t>
  </si>
  <si>
    <t>611</t>
  </si>
  <si>
    <t>6132</t>
  </si>
  <si>
    <t>6133</t>
  </si>
  <si>
    <t>613301</t>
  </si>
  <si>
    <t>6135</t>
  </si>
  <si>
    <t>613501</t>
  </si>
  <si>
    <t>6136</t>
  </si>
  <si>
    <t>6156</t>
  </si>
  <si>
    <t>6161</t>
  </si>
  <si>
    <t>6181</t>
  </si>
  <si>
    <t>6185</t>
  </si>
  <si>
    <t>622</t>
  </si>
  <si>
    <t>6226</t>
  </si>
  <si>
    <t>622601</t>
  </si>
  <si>
    <t>62261</t>
  </si>
  <si>
    <t>62263</t>
  </si>
  <si>
    <t>6227</t>
  </si>
  <si>
    <t>6228</t>
  </si>
  <si>
    <t>623</t>
  </si>
  <si>
    <t>62301</t>
  </si>
  <si>
    <t>6234</t>
  </si>
  <si>
    <t>6251</t>
  </si>
  <si>
    <t>62511</t>
  </si>
  <si>
    <t>6257</t>
  </si>
  <si>
    <t>6261</t>
  </si>
  <si>
    <t>6262</t>
  </si>
  <si>
    <t>6263</t>
  </si>
  <si>
    <t>627</t>
  </si>
  <si>
    <t>6271</t>
  </si>
  <si>
    <t>6272</t>
  </si>
  <si>
    <t>6281</t>
  </si>
  <si>
    <t>6332</t>
  </si>
  <si>
    <t>6333</t>
  </si>
  <si>
    <t>63511</t>
  </si>
  <si>
    <t>6411</t>
  </si>
  <si>
    <t>Salaires et traitements</t>
  </si>
  <si>
    <t>Salaires &amp; Rémunérations</t>
  </si>
  <si>
    <t>6412</t>
  </si>
  <si>
    <t>Indemnités de congés payés</t>
  </si>
  <si>
    <t>Congés payés</t>
  </si>
  <si>
    <t>6451</t>
  </si>
  <si>
    <t>6453</t>
  </si>
  <si>
    <t>Cotisations de retraite</t>
  </si>
  <si>
    <t>6455</t>
  </si>
  <si>
    <t>Cotisations de sécurité sociale</t>
  </si>
  <si>
    <t>6456</t>
  </si>
  <si>
    <t>6458</t>
  </si>
  <si>
    <t>64583</t>
  </si>
  <si>
    <t>6475</t>
  </si>
  <si>
    <t>Autres cotisations sociales</t>
  </si>
  <si>
    <t>658</t>
  </si>
  <si>
    <t>6611</t>
  </si>
  <si>
    <t>666</t>
  </si>
  <si>
    <t>672</t>
  </si>
  <si>
    <t>68111</t>
  </si>
  <si>
    <t>68112</t>
  </si>
  <si>
    <t>695</t>
  </si>
  <si>
    <t>6991</t>
  </si>
  <si>
    <t>701</t>
  </si>
  <si>
    <t>7064</t>
  </si>
  <si>
    <t>70641</t>
  </si>
  <si>
    <t>70642</t>
  </si>
  <si>
    <t>758</t>
  </si>
  <si>
    <t>768</t>
  </si>
  <si>
    <t>772</t>
  </si>
  <si>
    <t>7913</t>
  </si>
  <si>
    <t>Libellé</t>
  </si>
  <si>
    <t>Avertissement</t>
  </si>
  <si>
    <t>1. Nature du document</t>
  </si>
  <si>
    <t>Ce classeur présente un exemple de livrable généré par Aletheia. Les données financières, les informations relatives aux employés ainsi que les noms de clients et fournisseurs sont entièrement fictifs et ont été modifiés à des fins de démonstration. Ce document ne correspond à aucune entreprise réelle, existante ou ayant existé. Il est mis à disposition uniquement pour illustrer la nature et la profondeur des analyses produites par la plateforme Aletheia.</t>
  </si>
  <si>
    <t>2. Base d'information</t>
  </si>
  <si>
    <t>Les analyses présentées dans ce document reposent exclusivement sur les documents sources fournis (fichiers comptables et de gestion, balances générales, grands livres). Aucune vérification indépendante des données sources n'a été effectuée.</t>
  </si>
  <si>
    <t>3. Absence d'audit</t>
  </si>
  <si>
    <t>Ce document ne constitue en aucun cas un audit, un examen limité ou une quelconque mission d'assurance au sens des normes professionnelles applicables (NEP, ISA). Les travaux réalisés ne sauraient se substituer à un audit légal ou contractuel.</t>
  </si>
  <si>
    <t>4. Limitations</t>
  </si>
  <si>
    <t>5. Prévisions et estimations</t>
  </si>
  <si>
    <t>Toute donnée prospective ou estimation présentée dans ce document est par nature incertaine. Les résultats réels peuvent différer significativement des projections.</t>
  </si>
  <si>
    <t>6. Confidentialité</t>
  </si>
  <si>
    <t>Ce document est strictement confidentiel et destiné uniquement aux parties autorisées. Toute diffusion, reproduction ou utilisation non autorisée est interdite.</t>
  </si>
  <si>
    <t>7. Limitation de responsabilité</t>
  </si>
  <si>
    <t>Les auteurs de ce document déclinent toute responsabilité quant aux décisions prises sur la base des informations présentées. L'utilisateur assume l'entière responsabilité de l'utilisation qui est faite de ces analyses.</t>
  </si>
  <si>
    <t>Mapping et balance générale, liés par formules vérifiables.</t>
  </si>
  <si>
    <t>à partir des fichiers comptables et de gestion - en 7 minutes.</t>
  </si>
  <si>
    <t>→  Découvrir l'application  •  aletheia-insight.com</t>
  </si>
  <si>
    <t>Effectifs, Top 10 clients et fournisseurs, allocation RH.</t>
  </si>
  <si>
    <t>Détail des employés.</t>
  </si>
  <si>
    <t>Les retraitements, reclassements et analyses présentés sont fondés sur les informations disponibles à la date de préparation.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</si>
</sst>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
    <numFmt numFmtId="166" formatCode="#,##0;\(#,##0\)"/>
    <numFmt numFmtId="167" formatCode="0.0%;\(0.0\)%;\-"/>
    <numFmt numFmtId="168" formatCode="0.0%;\(0.0%\);\-"/>
    <numFmt numFmtId="169" formatCode="0.0\%;\(0.0&quot;)%&quot;"/>
    <numFmt numFmtId="170" formatCode="\+0.0&quot;pp&quot;;\(0.0&quot;)pp&quot;;\–"/>
    <numFmt numFmtId="171" formatCode="0.0\x;\(0.0&quot;)x&quot;"/>
    <numFmt numFmtId="172" formatCode="\+0.0\x;\(0.0&quot;)x&quot;;\–"/>
    <numFmt numFmtId="173" formatCode="0.000"/>
    <numFmt numFmtId="174" formatCode="0.0%"/>
  </numFmts>
  <fonts count="39">
    <font>
      <sz val="11"/>
      <color theme="1"/>
      <name val="Calibri"/>
      <family val="2"/>
      <charset val="1"/>
    </font>
    <font>
      <sz val="11"/>
      <name val="Cambria"/>
      <family val="1"/>
    </font>
    <font>
      <b/>
      <sz val="42"/>
      <color rgb="FFFAFBFC"/>
      <name val="Cormorant Garamond"/>
      <charset val="1"/>
    </font>
    <font>
      <sz val="13"/>
      <color rgb="FFB8C1D0"/>
      <name val="DM Sans"/>
      <charset val="1"/>
    </font>
    <font>
      <b/>
      <sz val="10"/>
      <color rgb="FF0D1B2A"/>
      <name val="DM Sans"/>
      <charset val="1"/>
    </font>
    <font>
      <sz val="10"/>
      <color rgb="FF3D4654"/>
      <name val="DM Sans"/>
      <charset val="1"/>
    </font>
    <font>
      <b/>
      <i/>
      <sz val="9"/>
      <color rgb="FFA86808"/>
      <name val="DM Sans"/>
      <charset val="1"/>
    </font>
    <font>
      <b/>
      <sz val="9"/>
      <color rgb="FF2A9D8F"/>
      <name val="DM Sans"/>
      <charset val="1"/>
    </font>
    <font>
      <i/>
      <sz val="9"/>
      <color rgb="FF9BA3B0"/>
      <name val="DM Sans"/>
      <charset val="1"/>
    </font>
    <font>
      <b/>
      <sz val="11"/>
      <color rgb="FFC0392B"/>
      <name val="DM Sans"/>
      <charset val="1"/>
    </font>
    <font>
      <b/>
      <sz val="11"/>
      <color rgb="FF2A9D8F"/>
      <name val="DM Sans"/>
      <charset val="1"/>
    </font>
    <font>
      <sz val="11"/>
      <color rgb="FF2A9D8F"/>
      <name val="DM Sans"/>
      <charset val="1"/>
    </font>
    <font>
      <b/>
      <sz val="24"/>
      <color rgb="FFFAFBFC"/>
      <name val="Cormorant Garamond"/>
      <charset val="1"/>
    </font>
    <font>
      <u/>
      <sz val="10"/>
      <color rgb="FF2A9D8F"/>
      <name val="DM Sans"/>
      <charset val="1"/>
    </font>
    <font>
      <b/>
      <u/>
      <sz val="10"/>
      <color rgb="FF2A9D8F"/>
      <name val="DM Sans"/>
      <charset val="1"/>
    </font>
    <font>
      <u/>
      <sz val="11"/>
      <color theme="10"/>
      <name val="Calibri"/>
      <family val="2"/>
      <charset val="1"/>
    </font>
    <font>
      <b/>
      <sz val="14"/>
      <color rgb="FF0D1B2A"/>
      <name val="Cormorant Garamond"/>
      <charset val="1"/>
    </font>
    <font>
      <b/>
      <sz val="9"/>
      <color rgb="FFA86808"/>
      <name val="Calibri"/>
      <family val="2"/>
    </font>
    <font>
      <b/>
      <sz val="10"/>
      <color rgb="FFFAFBFC"/>
      <name val="Calibri"/>
      <family val="2"/>
    </font>
    <font>
      <sz val="8"/>
      <color rgb="FF9BA3B0"/>
      <name val="Calibri"/>
      <family val="2"/>
    </font>
    <font>
      <sz val="9"/>
      <color rgb="FF3D4654"/>
      <name val="Calibri"/>
      <family val="2"/>
    </font>
    <font>
      <sz val="9"/>
      <color rgb="FFA86808"/>
      <name val="Calibri"/>
      <family val="2"/>
    </font>
    <font>
      <b/>
      <sz val="11"/>
      <name val="Calibri"/>
      <family val="2"/>
    </font>
    <font>
      <sz val="9"/>
      <color rgb="FF3D4654"/>
      <name val="Calibri"/>
      <family val="2"/>
      <charset val="1"/>
    </font>
    <font>
      <b/>
      <sz val="12"/>
      <name val="Calibri"/>
      <family val="2"/>
    </font>
    <font>
      <b/>
      <sz val="11"/>
      <color rgb="FF0D1B2A"/>
      <name val="Calibri"/>
      <family val="2"/>
    </font>
    <font>
      <b/>
      <sz val="10"/>
      <name val="Calibri"/>
      <family val="2"/>
    </font>
    <font>
      <b/>
      <sz val="10"/>
      <color rgb="FFFAFBFC"/>
      <name val="Calibri"/>
      <family val="2"/>
      <charset val="1"/>
    </font>
    <font>
      <sz val="9"/>
      <color rgb="FF9BA3B0"/>
      <name val="Calibri"/>
      <family val="2"/>
    </font>
    <font>
      <b/>
      <sz val="11"/>
      <color rgb="FFFAFBFC"/>
      <name val="Calibri"/>
      <family val="2"/>
      <charset val="1"/>
    </font>
    <font>
      <b/>
      <sz val="10"/>
      <color rgb="FF0D1B2A"/>
      <name val="Calibri"/>
      <family val="2"/>
      <charset val="1"/>
    </font>
    <font>
      <sz val="9"/>
      <color rgb="FFA86808"/>
      <name val="Calibri"/>
      <family val="2"/>
      <charset val="1"/>
    </font>
    <font>
      <b/>
      <sz val="10"/>
      <name val="Calibri"/>
      <family val="2"/>
      <charset val="1"/>
    </font>
    <font>
      <sz val="10"/>
      <name val="Calibri"/>
      <family val="2"/>
    </font>
    <font>
      <i/>
      <sz val="10"/>
      <color rgb="FF666666"/>
      <name val="Calibri"/>
      <family val="2"/>
    </font>
    <font>
      <sz val="22"/>
      <color rgb="FFFAFBFC"/>
      <name val="Cormorant Garamond"/>
      <charset val="1"/>
    </font>
    <font>
      <b/>
      <sz val="11"/>
      <color rgb="FF0D1B2A"/>
      <name val="DM Sans"/>
      <charset val="1"/>
    </font>
    <font>
      <sz val="11"/>
      <color theme="4"/>
      <name val="Cambria"/>
      <family val="1"/>
    </font>
    <font>
      <sz val="9"/>
      <color theme="4"/>
      <name val="DM Sans"/>
    </font>
  </fonts>
  <fills count="14">
    <fill>
      <patternFill patternType="none"/>
    </fill>
    <fill>
      <patternFill patternType="gray125"/>
    </fill>
    <fill>
      <patternFill patternType="solid">
        <fgColor rgb="FF0D1B2A"/>
        <bgColor rgb="FF1A2E45"/>
      </patternFill>
    </fill>
    <fill>
      <patternFill patternType="solid">
        <fgColor rgb="FF2A9D8F"/>
        <bgColor rgb="FF1E8449"/>
      </patternFill>
    </fill>
    <fill>
      <patternFill patternType="solid">
        <fgColor rgb="FFEEF2F7"/>
        <bgColor rgb="FFF4F5F7"/>
      </patternFill>
    </fill>
    <fill>
      <patternFill patternType="solid">
        <fgColor rgb="FFFEF7E4"/>
        <bgColor rgb="FFFDEEEC"/>
      </patternFill>
    </fill>
    <fill>
      <patternFill patternType="solid">
        <fgColor rgb="FFFDEEEC"/>
        <bgColor rgb="FFFEF7E4"/>
      </patternFill>
    </fill>
    <fill>
      <patternFill patternType="solid">
        <fgColor rgb="FFFFFFFF"/>
        <bgColor rgb="FFFAFBFC"/>
      </patternFill>
    </fill>
    <fill>
      <patternFill patternType="solid">
        <fgColor rgb="FFD4F2EE"/>
        <bgColor rgb="FFDCE4ED"/>
      </patternFill>
    </fill>
    <fill>
      <patternFill patternType="solid">
        <fgColor rgb="FFE8F7F5"/>
        <bgColor rgb="FFE9F7EF"/>
      </patternFill>
    </fill>
    <fill>
      <patternFill patternType="solid">
        <fgColor rgb="FFDCE4ED"/>
        <bgColor rgb="FFD4F2EE"/>
      </patternFill>
    </fill>
    <fill>
      <patternFill patternType="solid">
        <fgColor rgb="FFB8CADA"/>
        <bgColor rgb="FFB8C1D0"/>
      </patternFill>
    </fill>
    <fill>
      <patternFill patternType="solid">
        <fgColor rgb="FFF4F5F7"/>
        <bgColor rgb="FFEEF2F7"/>
      </patternFill>
    </fill>
    <fill>
      <patternFill patternType="solid">
        <fgColor rgb="FF1A2E45"/>
        <bgColor rgb="FF003366"/>
      </patternFill>
    </fill>
  </fills>
  <borders count="8">
    <border>
      <left/>
      <right/>
      <top/>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bottom style="thin">
        <color auto="1"/>
      </bottom>
      <diagonal/>
    </border>
    <border>
      <left/>
      <right/>
      <top style="double">
        <color auto="1"/>
      </top>
      <bottom/>
      <diagonal/>
    </border>
    <border>
      <left style="thick">
        <color rgb="FF2A9D8F"/>
      </left>
      <right/>
      <top/>
      <bottom/>
      <diagonal/>
    </border>
    <border>
      <left style="medium">
        <color rgb="FF2A9D8F"/>
      </left>
      <right/>
      <top/>
      <bottom/>
      <diagonal/>
    </border>
  </borders>
  <cellStyleXfs count="2">
    <xf numFmtId="0" fontId="0" fillId="0" borderId="0"/>
    <xf numFmtId="0" fontId="15" fillId="0" borderId="0" applyNumberFormat="0" applyFill="0" applyBorder="0" applyAlignment="0" applyProtection="0"/>
  </cellStyleXfs>
  <cellXfs count="103">
    <xf numFmtId="0" fontId="0" fillId="0" borderId="0" xfId="0"/>
    <xf numFmtId="0" fontId="1" fillId="2" borderId="0" xfId="0" applyFont="1" applyFill="1"/>
    <xf numFmtId="0" fontId="1" fillId="0" borderId="0" xfId="0" applyFont="1"/>
    <xf numFmtId="0" fontId="2" fillId="2" borderId="0" xfId="0" applyFont="1" applyFill="1" applyAlignment="1">
      <alignment horizontal="left" vertical="center"/>
    </xf>
    <xf numFmtId="0" fontId="3" fillId="2" borderId="0" xfId="0" applyFont="1" applyFill="1" applyAlignment="1">
      <alignment horizontal="left" vertical="center"/>
    </xf>
    <xf numFmtId="0" fontId="1" fillId="3" borderId="0" xfId="0" applyFont="1" applyFill="1"/>
    <xf numFmtId="0" fontId="4" fillId="4" borderId="0" xfId="0" applyFont="1" applyFill="1" applyAlignment="1">
      <alignment horizontal="left" vertical="center"/>
    </xf>
    <xf numFmtId="0" fontId="5" fillId="4" borderId="0" xfId="0" applyFont="1" applyFill="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5" borderId="0" xfId="0" applyFont="1" applyFill="1" applyAlignment="1">
      <alignment horizontal="left" vertical="center"/>
    </xf>
    <xf numFmtId="0" fontId="1" fillId="5" borderId="0" xfId="0" applyFont="1" applyFill="1"/>
    <xf numFmtId="0" fontId="7" fillId="0" borderId="0" xfId="0" applyFont="1" applyAlignment="1">
      <alignment horizontal="left" vertical="center"/>
    </xf>
    <xf numFmtId="0" fontId="8" fillId="0" borderId="0" xfId="0" applyFont="1" applyAlignment="1">
      <alignment horizontal="left" vertical="center"/>
    </xf>
    <xf numFmtId="0" fontId="9" fillId="6" borderId="0" xfId="0" applyFont="1" applyFill="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2" borderId="0" xfId="0" applyFont="1" applyFill="1" applyAlignment="1">
      <alignment horizontal="left" vertical="center"/>
    </xf>
    <xf numFmtId="0" fontId="13" fillId="4" borderId="0" xfId="0" applyFont="1" applyFill="1" applyAlignment="1">
      <alignment horizontal="left" vertical="center"/>
    </xf>
    <xf numFmtId="0" fontId="14" fillId="7" borderId="0" xfId="0" applyFont="1" applyFill="1" applyAlignment="1">
      <alignment horizontal="left" vertical="center"/>
    </xf>
    <xf numFmtId="0" fontId="14" fillId="4" borderId="0" xfId="0" applyFont="1" applyFill="1" applyAlignment="1">
      <alignment horizontal="left" vertical="center"/>
    </xf>
    <xf numFmtId="0" fontId="16" fillId="0" borderId="0" xfId="0" applyFont="1"/>
    <xf numFmtId="0" fontId="5" fillId="0" borderId="0" xfId="0" applyFont="1"/>
    <xf numFmtId="0" fontId="4" fillId="0" borderId="0" xfId="0" applyFont="1"/>
    <xf numFmtId="0" fontId="17" fillId="8" borderId="0" xfId="0" applyFont="1" applyFill="1"/>
    <xf numFmtId="0" fontId="18" fillId="2" borderId="0" xfId="0" applyFont="1" applyFill="1"/>
    <xf numFmtId="0" fontId="18" fillId="2" borderId="0" xfId="0" applyFont="1" applyFill="1" applyAlignment="1">
      <alignment horizontal="right"/>
    </xf>
    <xf numFmtId="0" fontId="19" fillId="9" borderId="0" xfId="0" applyFont="1" applyFill="1"/>
    <xf numFmtId="0" fontId="20" fillId="0" borderId="0" xfId="0" applyFont="1"/>
    <xf numFmtId="164" fontId="20" fillId="0" borderId="0" xfId="0" applyNumberFormat="1" applyFont="1" applyAlignment="1">
      <alignment horizontal="right"/>
    </xf>
    <xf numFmtId="165" fontId="20" fillId="0" borderId="0" xfId="0" applyNumberFormat="1" applyFont="1" applyAlignment="1">
      <alignment horizontal="right"/>
    </xf>
    <xf numFmtId="0" fontId="21" fillId="9" borderId="0" xfId="0" applyFont="1" applyFill="1"/>
    <xf numFmtId="0" fontId="22" fillId="4" borderId="1" xfId="0" applyFont="1" applyFill="1" applyBorder="1"/>
    <xf numFmtId="166" fontId="22" fillId="4" borderId="1" xfId="0" applyNumberFormat="1" applyFont="1" applyFill="1" applyBorder="1" applyAlignment="1">
      <alignment horizontal="right"/>
    </xf>
    <xf numFmtId="167" fontId="22" fillId="4" borderId="1" xfId="0" applyNumberFormat="1" applyFont="1" applyFill="1" applyBorder="1" applyAlignment="1">
      <alignment horizontal="right"/>
    </xf>
    <xf numFmtId="0" fontId="20" fillId="0" borderId="0" xfId="0" applyFont="1" applyAlignment="1">
      <alignment horizontal="left" indent="2"/>
    </xf>
    <xf numFmtId="0" fontId="20" fillId="0" borderId="0" xfId="0" applyFont="1" applyAlignment="1">
      <alignment horizontal="left" indent="1"/>
    </xf>
    <xf numFmtId="166" fontId="0" fillId="0" borderId="0" xfId="0" applyNumberFormat="1" applyAlignment="1">
      <alignment horizontal="right"/>
    </xf>
    <xf numFmtId="168" fontId="0" fillId="0" borderId="0" xfId="0" applyNumberFormat="1" applyAlignment="1">
      <alignment horizontal="right"/>
    </xf>
    <xf numFmtId="0" fontId="23" fillId="0" borderId="0" xfId="0" applyFont="1" applyAlignment="1">
      <alignment horizontal="left" indent="1"/>
    </xf>
    <xf numFmtId="0" fontId="24" fillId="10" borderId="2" xfId="0" applyFont="1" applyFill="1" applyBorder="1"/>
    <xf numFmtId="166" fontId="24" fillId="10" borderId="2" xfId="0" applyNumberFormat="1" applyFont="1" applyFill="1" applyBorder="1" applyAlignment="1">
      <alignment horizontal="right"/>
    </xf>
    <xf numFmtId="168" fontId="24" fillId="10" borderId="2" xfId="0" applyNumberFormat="1" applyFont="1" applyFill="1" applyBorder="1" applyAlignment="1">
      <alignment horizontal="right"/>
    </xf>
    <xf numFmtId="0" fontId="22" fillId="10" borderId="2" xfId="0" applyFont="1" applyFill="1" applyBorder="1"/>
    <xf numFmtId="166" fontId="22" fillId="10" borderId="2" xfId="0" applyNumberFormat="1" applyFont="1" applyFill="1" applyBorder="1" applyAlignment="1">
      <alignment horizontal="right"/>
    </xf>
    <xf numFmtId="0" fontId="24" fillId="11" borderId="3" xfId="0" applyFont="1" applyFill="1" applyBorder="1"/>
    <xf numFmtId="166" fontId="24" fillId="11" borderId="3" xfId="0" applyNumberFormat="1" applyFont="1" applyFill="1" applyBorder="1" applyAlignment="1">
      <alignment horizontal="right"/>
    </xf>
    <xf numFmtId="168" fontId="24" fillId="11" borderId="3" xfId="0" applyNumberFormat="1" applyFont="1" applyFill="1" applyBorder="1" applyAlignment="1">
      <alignment horizontal="right"/>
    </xf>
    <xf numFmtId="0" fontId="25" fillId="0" borderId="4" xfId="0" applyFont="1" applyBorder="1"/>
    <xf numFmtId="0" fontId="0" fillId="0" borderId="4" xfId="0" applyBorder="1"/>
    <xf numFmtId="169" fontId="0" fillId="0" borderId="0" xfId="0" applyNumberFormat="1" applyAlignment="1">
      <alignment horizontal="right"/>
    </xf>
    <xf numFmtId="170" fontId="0" fillId="0" borderId="0" xfId="0" applyNumberFormat="1" applyAlignment="1">
      <alignment horizontal="right"/>
    </xf>
    <xf numFmtId="0" fontId="26" fillId="0" borderId="0" xfId="0" applyFont="1"/>
    <xf numFmtId="164" fontId="26" fillId="0" borderId="0" xfId="0" applyNumberFormat="1" applyFont="1" applyAlignment="1">
      <alignment horizontal="right"/>
    </xf>
    <xf numFmtId="169" fontId="22" fillId="4" borderId="1" xfId="0" applyNumberFormat="1" applyFont="1" applyFill="1" applyBorder="1" applyAlignment="1">
      <alignment horizontal="right"/>
    </xf>
    <xf numFmtId="0" fontId="0" fillId="12" borderId="0" xfId="0" applyFill="1"/>
    <xf numFmtId="166" fontId="0" fillId="12" borderId="0" xfId="0" applyNumberFormat="1" applyFill="1" applyAlignment="1">
      <alignment horizontal="right"/>
    </xf>
    <xf numFmtId="0" fontId="26" fillId="4" borderId="1" xfId="0" applyFont="1" applyFill="1" applyBorder="1"/>
    <xf numFmtId="166" fontId="26" fillId="4" borderId="1" xfId="0" applyNumberFormat="1" applyFont="1" applyFill="1" applyBorder="1" applyAlignment="1">
      <alignment horizontal="right"/>
    </xf>
    <xf numFmtId="169" fontId="26" fillId="4" borderId="1" xfId="0" applyNumberFormat="1" applyFont="1" applyFill="1" applyBorder="1" applyAlignment="1">
      <alignment horizontal="right"/>
    </xf>
    <xf numFmtId="169" fontId="22" fillId="10" borderId="2" xfId="0" applyNumberFormat="1" applyFont="1" applyFill="1" applyBorder="1" applyAlignment="1">
      <alignment horizontal="right"/>
    </xf>
    <xf numFmtId="169" fontId="24" fillId="11" borderId="3" xfId="0" applyNumberFormat="1" applyFont="1" applyFill="1" applyBorder="1" applyAlignment="1">
      <alignment horizontal="right"/>
    </xf>
    <xf numFmtId="169" fontId="0" fillId="12" borderId="0" xfId="0" applyNumberFormat="1" applyFill="1" applyAlignment="1">
      <alignment horizontal="right"/>
    </xf>
    <xf numFmtId="171" fontId="0" fillId="0" borderId="0" xfId="0" applyNumberFormat="1" applyAlignment="1">
      <alignment horizontal="right"/>
    </xf>
    <xf numFmtId="172" fontId="0" fillId="0" borderId="0" xfId="0" applyNumberFormat="1" applyAlignment="1">
      <alignment horizontal="right"/>
    </xf>
    <xf numFmtId="0" fontId="27" fillId="0" borderId="0" xfId="0" applyFont="1" applyAlignment="1">
      <alignment horizontal="right"/>
    </xf>
    <xf numFmtId="0" fontId="20" fillId="0" borderId="0" xfId="0" applyFont="1" applyAlignment="1">
      <alignment horizontal="center" vertical="center"/>
    </xf>
    <xf numFmtId="0" fontId="28" fillId="0" borderId="0" xfId="0" applyFont="1" applyAlignment="1">
      <alignment horizontal="center" vertical="center"/>
    </xf>
    <xf numFmtId="173" fontId="0" fillId="0" borderId="0" xfId="0" applyNumberFormat="1"/>
    <xf numFmtId="0" fontId="27" fillId="2" borderId="0" xfId="0" applyFont="1" applyFill="1"/>
    <xf numFmtId="0" fontId="27" fillId="2" borderId="0" xfId="0" applyFont="1" applyFill="1" applyAlignment="1">
      <alignment horizontal="right"/>
    </xf>
    <xf numFmtId="0" fontId="29" fillId="13" borderId="0" xfId="0" applyFont="1" applyFill="1"/>
    <xf numFmtId="166" fontId="29" fillId="13" borderId="4" xfId="0" applyNumberFormat="1" applyFont="1" applyFill="1" applyBorder="1" applyAlignment="1">
      <alignment horizontal="right"/>
    </xf>
    <xf numFmtId="0" fontId="30" fillId="0" borderId="0" xfId="0" applyFont="1"/>
    <xf numFmtId="0" fontId="31" fillId="0" borderId="0" xfId="0" applyFont="1"/>
    <xf numFmtId="168" fontId="0" fillId="9" borderId="0" xfId="0" applyNumberFormat="1" applyFill="1" applyAlignment="1">
      <alignment horizontal="right"/>
    </xf>
    <xf numFmtId="174" fontId="0" fillId="0" borderId="0" xfId="0" applyNumberFormat="1"/>
    <xf numFmtId="0" fontId="32" fillId="0" borderId="4" xfId="0" applyFont="1" applyBorder="1"/>
    <xf numFmtId="9" fontId="32" fillId="0" borderId="4" xfId="0" applyNumberFormat="1" applyFont="1" applyBorder="1" applyAlignment="1">
      <alignment horizontal="right"/>
    </xf>
    <xf numFmtId="166" fontId="32" fillId="0" borderId="4" xfId="0" applyNumberFormat="1" applyFont="1" applyBorder="1" applyAlignment="1">
      <alignment horizontal="right"/>
    </xf>
    <xf numFmtId="0" fontId="18" fillId="2" borderId="0" xfId="0" applyFont="1" applyFill="1" applyAlignment="1">
      <alignment horizontal="left"/>
    </xf>
    <xf numFmtId="0" fontId="18" fillId="2" borderId="0" xfId="0" applyFont="1" applyFill="1" applyAlignment="1">
      <alignment horizontal="center"/>
    </xf>
    <xf numFmtId="0" fontId="33" fillId="0" borderId="0" xfId="0" applyFont="1"/>
    <xf numFmtId="166" fontId="33" fillId="0" borderId="0" xfId="0" applyNumberFormat="1" applyFont="1" applyAlignment="1">
      <alignment horizontal="right"/>
    </xf>
    <xf numFmtId="0" fontId="34" fillId="12" borderId="0" xfId="0" applyFont="1" applyFill="1"/>
    <xf numFmtId="166" fontId="34" fillId="12" borderId="0" xfId="0" applyNumberFormat="1" applyFont="1" applyFill="1" applyAlignment="1">
      <alignment horizontal="right"/>
    </xf>
    <xf numFmtId="0" fontId="18" fillId="13" borderId="5" xfId="0" applyFont="1" applyFill="1" applyBorder="1"/>
    <xf numFmtId="166" fontId="18" fillId="13" borderId="5" xfId="0" applyNumberFormat="1" applyFont="1" applyFill="1" applyBorder="1" applyAlignment="1">
      <alignment horizontal="right"/>
    </xf>
    <xf numFmtId="166" fontId="0" fillId="0" borderId="0" xfId="0" applyNumberFormat="1"/>
    <xf numFmtId="49" fontId="0" fillId="0" borderId="0" xfId="0" applyNumberFormat="1"/>
    <xf numFmtId="0" fontId="0" fillId="2" borderId="0" xfId="0" applyFill="1"/>
    <xf numFmtId="0" fontId="35" fillId="2" borderId="0" xfId="0" applyFont="1" applyFill="1" applyAlignment="1">
      <alignment vertical="center"/>
    </xf>
    <xf numFmtId="0" fontId="0" fillId="3" borderId="0" xfId="0" applyFill="1"/>
    <xf numFmtId="0" fontId="36" fillId="4" borderId="6" xfId="0" applyFont="1" applyFill="1" applyBorder="1" applyAlignment="1">
      <alignment horizontal="left" vertical="center"/>
    </xf>
    <xf numFmtId="0" fontId="5" fillId="0" borderId="0" xfId="0" applyFont="1" applyAlignment="1">
      <alignment horizontal="left" vertical="top" wrapText="1"/>
    </xf>
    <xf numFmtId="0" fontId="36" fillId="4" borderId="7" xfId="0" applyFont="1" applyFill="1" applyBorder="1" applyAlignment="1">
      <alignment vertical="center"/>
    </xf>
    <xf numFmtId="0" fontId="5" fillId="0" borderId="0" xfId="0" applyFont="1" applyAlignment="1">
      <alignment vertical="top" wrapText="1" indent="1"/>
    </xf>
    <xf numFmtId="0" fontId="15" fillId="0" borderId="0" xfId="1" applyAlignment="1">
      <alignment horizontal="left" vertical="center"/>
    </xf>
    <xf numFmtId="0" fontId="37" fillId="2" borderId="0" xfId="0" applyFont="1" applyFill="1"/>
    <xf numFmtId="0" fontId="38" fillId="2" borderId="0" xfId="0" applyFont="1" applyFill="1" applyAlignment="1">
      <alignment horizontal="right" vertical="center"/>
    </xf>
    <xf numFmtId="0" fontId="15" fillId="4" borderId="0" xfId="1" applyFill="1" applyAlignment="1">
      <alignment horizontal="left" vertical="center"/>
    </xf>
    <xf numFmtId="0" fontId="15" fillId="2" borderId="0" xfId="1" applyFill="1" applyAlignment="1">
      <alignment horizontal="center" vertical="center"/>
    </xf>
    <xf numFmtId="0" fontId="15" fillId="2" borderId="0" xfId="0" applyFont="1" applyFill="1" applyAlignment="1">
      <alignment horizontal="center" vertical="center"/>
    </xf>
  </cellXfs>
  <cellStyles count="2">
    <cellStyle name="Hyperlink" xfId="1" builtinId="8"/>
    <cellStyle name="Normal" xfId="0" builtinId="0"/>
  </cellStyles>
  <dxfs count="22">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
      <font>
        <color rgb="FFC0392B"/>
      </font>
      <fill>
        <patternFill>
          <bgColor rgb="FFFDEEEC"/>
        </patternFill>
      </fill>
    </dxf>
    <dxf>
      <font>
        <color rgb="FF1E8449"/>
      </font>
      <fill>
        <patternFill>
          <bgColor rgb="FFE9F7E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A86808"/>
      <rgbColor rgb="FF800080"/>
      <rgbColor rgb="FF1E8449"/>
      <rgbColor rgb="FFB8C1D0"/>
      <rgbColor rgb="FF7A8494"/>
      <rgbColor rgb="FF9999FF"/>
      <rgbColor rgb="FF993366"/>
      <rgbColor rgb="FFFEF7E4"/>
      <rgbColor rgb="FFD4F2EE"/>
      <rgbColor rgb="FF660066"/>
      <rgbColor rgb="FFFF8080"/>
      <rgbColor rgb="FF0066CC"/>
      <rgbColor rgb="FFB8CADA"/>
      <rgbColor rgb="FF000080"/>
      <rgbColor rgb="FFFF00FF"/>
      <rgbColor rgb="FFFFFF00"/>
      <rgbColor rgb="FF00FFFF"/>
      <rgbColor rgb="FF800080"/>
      <rgbColor rgb="FF800000"/>
      <rgbColor rgb="FF008080"/>
      <rgbColor rgb="FF0000FF"/>
      <rgbColor rgb="FF00CCFF"/>
      <rgbColor rgb="FFE8F7F5"/>
      <rgbColor rgb="FFE9F7EF"/>
      <rgbColor rgb="FFFDEEEC"/>
      <rgbColor rgb="FFEEF2F7"/>
      <rgbColor rgb="FFF4F5F7"/>
      <rgbColor rgb="FFFAFBFC"/>
      <rgbColor rgb="FFDCE4ED"/>
      <rgbColor rgb="FF3366FF"/>
      <rgbColor rgb="FF33CCCC"/>
      <rgbColor rgb="FF99CC00"/>
      <rgbColor rgb="FFFFCC00"/>
      <rgbColor rgb="FFFF9900"/>
      <rgbColor rgb="FFFF6600"/>
      <rgbColor rgb="FF666666"/>
      <rgbColor rgb="FF9BA3B0"/>
      <rgbColor rgb="FF003366"/>
      <rgbColor rgb="FF2A9D8F"/>
      <rgbColor rgb="FF0D1B2A"/>
      <rgbColor rgb="FF333300"/>
      <rgbColor rgb="FFC0392B"/>
      <rgbColor rgb="FF993366"/>
      <rgbColor rgb="FF3D4654"/>
      <rgbColor rgb="FF1A2E4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Aletheia Insight">
  <a:themeElements>
    <a:clrScheme name="Aletheia">
      <a:dk1>
        <a:srgbClr val="0D1B2A"/>
      </a:dk1>
      <a:lt1>
        <a:srgbClr val="FAFBFC"/>
      </a:lt1>
      <a:dk2>
        <a:srgbClr val="1A2E45"/>
      </a:dk2>
      <a:lt2>
        <a:srgbClr val="F4F5F7"/>
      </a:lt2>
      <a:accent1>
        <a:srgbClr val="2A9D8F"/>
      </a:accent1>
      <a:accent2>
        <a:srgbClr val="3BBFAF"/>
      </a:accent2>
      <a:accent3>
        <a:srgbClr val="3A5F80"/>
      </a:accent3>
      <a:accent4>
        <a:srgbClr val="27AE60"/>
      </a:accent4>
      <a:accent5>
        <a:srgbClr val="D4840A"/>
      </a:accent5>
      <a:accent6>
        <a:srgbClr val="C0392B"/>
      </a:accent6>
      <a:hlink>
        <a:srgbClr val="238E83"/>
      </a:hlink>
      <a:folHlink>
        <a:srgbClr val="1F7D73"/>
      </a:folHlink>
    </a:clrScheme>
    <a:fontScheme name="Aletheia">
      <a:majorFont>
        <a:latin typeface="Cormorant Garamond"/>
        <a:ea typeface=""/>
        <a:cs typeface=""/>
      </a:majorFont>
      <a:minorFont>
        <a:latin typeface="DM Sans"/>
        <a:ea typeface=""/>
        <a:cs typeface=""/>
      </a:minorFont>
    </a:fontScheme>
    <a:fmtScheme name="Aletheia">
      <a:fillStyleLst>
        <a:solidFill>
          <a:schemeClr val="phClr"/>
        </a:solidFill>
        <a:solidFill>
          <a:schemeClr val="phClr"/>
        </a:solidFill>
        <a:solidFill>
          <a:schemeClr val="phClr"/>
        </a:solidFill>
      </a:fillStyleLst>
      <a:lnStyleLst>
        <a:ln w="6350">
          <a:solidFill>
            <a:schemeClr val="phClr"/>
          </a:solidFill>
        </a:ln>
        <a:ln w="12700">
          <a:solidFill>
            <a:schemeClr val="phClr"/>
          </a:solidFill>
        </a:ln>
        <a:ln w="19050">
          <a:solidFill>
            <a:schemeClr val="phClr"/>
          </a:solidFill>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24081F5-59C3-48DF-AF7D-CE9443527233}">
  <we:reference id="WA200009404" version="1.0.0.8" store="Omex" storeType="OMEX"/>
  <we:alternateReferences>
    <we:reference id="WA200009404" version="1.0.0.8" store="WA200009404" storeType="OMEX"/>
  </we:alternateReferences>
  <we:properties>
    <we:property name="claude.fileId" value="&quot;bbc75b19-77a9-4bfb-9bc5-e6bcf870ccaa&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hyperlink" Target="https://aletheia-insight.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letheia-insight.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letheia-insight.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aletheia-insight.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aletheia-insigh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1B2A"/>
    <pageSetUpPr fitToPage="1"/>
  </sheetPr>
  <dimension ref="A1:F30"/>
  <sheetViews>
    <sheetView showGridLines="0" tabSelected="1" zoomScaleNormal="100" workbookViewId="0"/>
  </sheetViews>
  <sheetFormatPr defaultColWidth="8.7109375" defaultRowHeight="15"/>
  <cols>
    <col min="1" max="1" width="4" customWidth="1"/>
    <col min="2" max="2" width="32" customWidth="1"/>
    <col min="3" max="3" width="48" customWidth="1"/>
    <col min="4" max="4" width="4" customWidth="1"/>
  </cols>
  <sheetData>
    <row r="1" spans="1:6" ht="18" customHeight="1">
      <c r="A1" s="1"/>
      <c r="B1" s="1"/>
      <c r="C1" s="1"/>
      <c r="D1" s="1"/>
      <c r="E1" s="2"/>
      <c r="F1" s="2"/>
    </row>
    <row r="2" spans="1:6" ht="13.5" customHeight="1">
      <c r="A2" s="1"/>
      <c r="B2" s="1"/>
      <c r="C2" s="1"/>
      <c r="D2" s="1"/>
      <c r="E2" s="2"/>
      <c r="F2" s="2"/>
    </row>
    <row r="3" spans="1:6" ht="27.75" customHeight="1">
      <c r="A3" s="1"/>
      <c r="B3" s="98" t="s">
        <v>0</v>
      </c>
      <c r="C3" s="99" t="s">
        <v>1</v>
      </c>
      <c r="D3" s="1"/>
      <c r="E3" s="2"/>
      <c r="F3" s="2"/>
    </row>
    <row r="4" spans="1:6" ht="7.5" customHeight="1">
      <c r="A4" s="1"/>
      <c r="B4" s="1"/>
      <c r="C4" s="1"/>
      <c r="D4" s="1"/>
      <c r="E4" s="2"/>
      <c r="F4" s="2"/>
    </row>
    <row r="5" spans="1:6" ht="55.5" customHeight="1">
      <c r="A5" s="1"/>
      <c r="B5" s="3" t="s">
        <v>2</v>
      </c>
      <c r="C5" s="1"/>
      <c r="D5" s="1"/>
      <c r="E5" s="2"/>
      <c r="F5" s="2"/>
    </row>
    <row r="6" spans="1:6" ht="9.75" customHeight="1">
      <c r="A6" s="1"/>
      <c r="B6" s="1"/>
      <c r="C6" s="1"/>
      <c r="D6" s="1"/>
      <c r="E6" s="2"/>
      <c r="F6" s="2"/>
    </row>
    <row r="7" spans="1:6" ht="25.5" customHeight="1">
      <c r="A7" s="1"/>
      <c r="B7" s="4" t="s">
        <v>3</v>
      </c>
      <c r="C7" s="1"/>
      <c r="D7" s="1"/>
      <c r="E7" s="2"/>
      <c r="F7" s="2"/>
    </row>
    <row r="8" spans="1:6" ht="21.75" customHeight="1">
      <c r="A8" s="1"/>
      <c r="B8" s="1"/>
      <c r="C8" s="1"/>
      <c r="D8" s="1"/>
      <c r="E8" s="2"/>
      <c r="F8" s="2"/>
    </row>
    <row r="9" spans="1:6" ht="3.75" customHeight="1">
      <c r="A9" s="5"/>
      <c r="B9" s="5"/>
      <c r="C9" s="5"/>
      <c r="D9" s="5"/>
      <c r="E9" s="2"/>
      <c r="F9" s="2"/>
    </row>
    <row r="10" spans="1:6" ht="24" customHeight="1">
      <c r="A10" s="2"/>
      <c r="B10" s="2"/>
      <c r="C10" s="2"/>
      <c r="D10" s="2"/>
      <c r="E10" s="2"/>
      <c r="F10" s="2"/>
    </row>
    <row r="11" spans="1:6" ht="24" customHeight="1">
      <c r="A11" s="2"/>
      <c r="B11" s="6" t="s">
        <v>4</v>
      </c>
      <c r="C11" s="7" t="s">
        <v>5</v>
      </c>
      <c r="D11" s="2"/>
      <c r="E11" s="2"/>
      <c r="F11" s="2"/>
    </row>
    <row r="12" spans="1:6" ht="24" customHeight="1">
      <c r="A12" s="2"/>
      <c r="B12" s="8" t="s">
        <v>6</v>
      </c>
      <c r="C12" s="9" t="s">
        <v>7</v>
      </c>
      <c r="D12" s="2"/>
      <c r="E12" s="2"/>
      <c r="F12" s="2"/>
    </row>
    <row r="13" spans="1:6" ht="24" customHeight="1">
      <c r="A13" s="2"/>
      <c r="B13" s="6" t="s">
        <v>8</v>
      </c>
      <c r="C13" s="7" t="s">
        <v>9</v>
      </c>
      <c r="D13" s="2"/>
      <c r="E13" s="2"/>
      <c r="F13" s="2"/>
    </row>
    <row r="14" spans="1:6" ht="24" customHeight="1">
      <c r="A14" s="2"/>
      <c r="B14" s="8" t="s">
        <v>10</v>
      </c>
      <c r="C14" s="9" t="s">
        <v>11</v>
      </c>
      <c r="D14" s="2"/>
      <c r="E14" s="2"/>
      <c r="F14" s="2"/>
    </row>
    <row r="15" spans="1:6" ht="30" customHeight="1">
      <c r="A15" s="2"/>
      <c r="B15" s="10" t="s">
        <v>12</v>
      </c>
      <c r="C15" s="11"/>
      <c r="D15" s="2"/>
      <c r="E15" s="2"/>
      <c r="F15" s="2"/>
    </row>
    <row r="16" spans="1:6" ht="21.75" customHeight="1">
      <c r="A16" s="2"/>
      <c r="B16" s="12" t="s">
        <v>13</v>
      </c>
      <c r="C16" s="2"/>
      <c r="D16" s="2"/>
      <c r="E16" s="2"/>
      <c r="F16" s="2"/>
    </row>
    <row r="17" spans="1:6" ht="31.5" customHeight="1">
      <c r="A17" s="2"/>
      <c r="B17" s="8" t="s">
        <v>14</v>
      </c>
      <c r="C17" s="9" t="s">
        <v>15</v>
      </c>
      <c r="D17" s="2"/>
      <c r="E17" s="2"/>
      <c r="F17" s="2"/>
    </row>
    <row r="18" spans="1:6" ht="31.5" customHeight="1">
      <c r="A18" s="2"/>
      <c r="B18" s="8" t="s">
        <v>16</v>
      </c>
      <c r="C18" s="9" t="s">
        <v>577</v>
      </c>
      <c r="D18" s="2"/>
      <c r="E18" s="2"/>
      <c r="F18" s="2"/>
    </row>
    <row r="19" spans="1:6" ht="31.5" customHeight="1">
      <c r="A19" s="2"/>
      <c r="B19" s="8" t="s">
        <v>17</v>
      </c>
      <c r="C19" s="9" t="s">
        <v>574</v>
      </c>
      <c r="D19" s="2"/>
      <c r="E19" s="2"/>
      <c r="F19" s="2"/>
    </row>
    <row r="20" spans="1:6" ht="31.5" customHeight="1">
      <c r="A20" s="2"/>
      <c r="B20" s="8"/>
      <c r="C20" s="9"/>
      <c r="D20" s="2"/>
      <c r="E20" s="2"/>
      <c r="F20" s="2"/>
    </row>
    <row r="21" spans="1:6" ht="24" customHeight="1">
      <c r="A21" s="2"/>
      <c r="B21" s="2"/>
      <c r="C21" s="2"/>
      <c r="D21" s="2"/>
      <c r="E21" s="2"/>
      <c r="F21" s="2"/>
    </row>
    <row r="22" spans="1:6" ht="19.5" customHeight="1">
      <c r="A22" s="2"/>
      <c r="B22" s="97" t="s">
        <v>18</v>
      </c>
      <c r="C22" s="2"/>
      <c r="D22" s="2"/>
      <c r="E22" s="2"/>
      <c r="F22" s="2"/>
    </row>
    <row r="23" spans="1:6" ht="19.5" customHeight="1">
      <c r="A23" s="2"/>
      <c r="B23" s="13" t="s">
        <v>575</v>
      </c>
      <c r="C23" s="2"/>
      <c r="D23" s="2"/>
      <c r="E23" s="2"/>
      <c r="F23" s="2"/>
    </row>
    <row r="24" spans="1:6" ht="14.25" customHeight="1">
      <c r="A24" s="2"/>
      <c r="B24" s="2"/>
      <c r="C24" s="2"/>
      <c r="D24" s="2"/>
      <c r="E24" s="2"/>
      <c r="F24" s="2"/>
    </row>
    <row r="25" spans="1:6" ht="25.5" customHeight="1">
      <c r="A25" s="2"/>
      <c r="B25" s="14" t="s">
        <v>19</v>
      </c>
      <c r="C25" s="2"/>
      <c r="D25" s="2"/>
      <c r="E25" s="2"/>
      <c r="F25" s="2"/>
    </row>
    <row r="26" spans="1:6" ht="14.25" customHeight="1">
      <c r="A26" s="2"/>
      <c r="B26" s="2"/>
      <c r="C26" s="2"/>
      <c r="D26" s="2"/>
      <c r="E26" s="2"/>
      <c r="F26" s="2"/>
    </row>
    <row r="27" spans="1:6" ht="24" customHeight="1">
      <c r="A27" s="2"/>
      <c r="B27" s="15"/>
      <c r="C27" s="2"/>
      <c r="D27" s="2"/>
      <c r="E27" s="2"/>
      <c r="F27" s="2"/>
    </row>
    <row r="28" spans="1:6" ht="19.5" customHeight="1">
      <c r="A28" s="2"/>
      <c r="B28" s="16"/>
      <c r="C28" s="2"/>
      <c r="D28" s="2"/>
      <c r="E28" s="2"/>
      <c r="F28" s="2"/>
    </row>
    <row r="29" spans="1:6" ht="14.25" customHeight="1">
      <c r="A29" s="2"/>
      <c r="B29" s="2"/>
      <c r="C29" s="2"/>
      <c r="D29" s="2"/>
      <c r="E29" s="2"/>
      <c r="F29" s="2"/>
    </row>
    <row r="30" spans="1:6" ht="14.25" customHeight="1">
      <c r="A30" s="2"/>
      <c r="B30" s="2"/>
      <c r="C30" s="2"/>
      <c r="D30" s="2"/>
      <c r="E30" s="2"/>
      <c r="F30" s="2"/>
    </row>
  </sheetData>
  <hyperlinks>
    <hyperlink ref="B22" r:id="rId1" tooltip="Ouvrir aletheia-insight.com" xr:uid="{62762C38-83EE-41F9-8FE2-8C455DA8B028}"/>
  </hyperlinks>
  <pageMargins left="0.3" right="0.3" top="0.4" bottom="0.4"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A8494"/>
  </sheetPr>
  <dimension ref="A1"/>
  <sheetViews>
    <sheetView showGridLines="0" zoomScaleNormal="100" workbookViewId="0"/>
  </sheetViews>
  <sheetFormatPr defaultColWidth="8.7109375" defaultRowHeight="15"/>
  <sheetData/>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A8494"/>
  </sheetPr>
  <dimension ref="A1:F127"/>
  <sheetViews>
    <sheetView showGridLines="0" zoomScaleNormal="100" workbookViewId="0">
      <pane ySplit="1" topLeftCell="A2" activePane="bottomLeft" state="frozen"/>
      <selection activeCell="D1" sqref="D1"/>
      <selection pane="bottomLeft"/>
    </sheetView>
  </sheetViews>
  <sheetFormatPr defaultColWidth="8.7109375" defaultRowHeight="15"/>
  <cols>
    <col min="1" max="1" width="11.140625" customWidth="1"/>
    <col min="2" max="2" width="12.85546875" customWidth="1"/>
    <col min="3" max="4" width="29" customWidth="1"/>
    <col min="5" max="6" width="54.140625" customWidth="1"/>
  </cols>
  <sheetData>
    <row r="1" spans="1:6" ht="14.25" customHeight="1">
      <c r="A1" s="25" t="s">
        <v>386</v>
      </c>
      <c r="B1" s="25" t="s">
        <v>387</v>
      </c>
      <c r="C1" s="25" t="s">
        <v>39</v>
      </c>
      <c r="D1" s="25" t="s">
        <v>388</v>
      </c>
      <c r="E1" s="25" t="s">
        <v>389</v>
      </c>
      <c r="F1" s="25" t="s">
        <v>390</v>
      </c>
    </row>
    <row r="2" spans="1:6" ht="14.25" customHeight="1">
      <c r="A2" t="s">
        <v>391</v>
      </c>
      <c r="B2" t="s">
        <v>144</v>
      </c>
      <c r="C2" t="s">
        <v>240</v>
      </c>
      <c r="D2" t="s">
        <v>241</v>
      </c>
      <c r="E2" t="s">
        <v>242</v>
      </c>
      <c r="F2" t="s">
        <v>392</v>
      </c>
    </row>
    <row r="3" spans="1:6" ht="14.25" customHeight="1">
      <c r="A3" t="s">
        <v>393</v>
      </c>
      <c r="B3" t="s">
        <v>144</v>
      </c>
      <c r="C3" t="s">
        <v>240</v>
      </c>
      <c r="D3" t="s">
        <v>241</v>
      </c>
      <c r="E3" t="s">
        <v>242</v>
      </c>
      <c r="F3" t="s">
        <v>394</v>
      </c>
    </row>
    <row r="4" spans="1:6" ht="14.25" customHeight="1">
      <c r="A4" t="s">
        <v>395</v>
      </c>
      <c r="B4" t="s">
        <v>144</v>
      </c>
      <c r="C4" t="s">
        <v>240</v>
      </c>
      <c r="D4" t="s">
        <v>241</v>
      </c>
      <c r="E4" t="s">
        <v>242</v>
      </c>
      <c r="F4" t="s">
        <v>396</v>
      </c>
    </row>
    <row r="5" spans="1:6" ht="14.25" customHeight="1">
      <c r="A5" t="s">
        <v>397</v>
      </c>
      <c r="B5" t="s">
        <v>144</v>
      </c>
      <c r="C5" t="s">
        <v>240</v>
      </c>
      <c r="D5" t="s">
        <v>246</v>
      </c>
      <c r="E5" t="s">
        <v>246</v>
      </c>
      <c r="F5" t="s">
        <v>398</v>
      </c>
    </row>
    <row r="6" spans="1:6" ht="14.25" customHeight="1">
      <c r="A6" t="s">
        <v>399</v>
      </c>
      <c r="B6" t="s">
        <v>144</v>
      </c>
      <c r="C6" t="s">
        <v>240</v>
      </c>
      <c r="D6" t="s">
        <v>400</v>
      </c>
      <c r="E6" t="s">
        <v>129</v>
      </c>
      <c r="F6" t="s">
        <v>401</v>
      </c>
    </row>
    <row r="7" spans="1:6" ht="14.25" customHeight="1">
      <c r="A7" t="s">
        <v>402</v>
      </c>
      <c r="B7" t="s">
        <v>144</v>
      </c>
      <c r="C7" t="s">
        <v>240</v>
      </c>
      <c r="D7" t="s">
        <v>400</v>
      </c>
      <c r="E7" t="s">
        <v>129</v>
      </c>
      <c r="F7" t="s">
        <v>403</v>
      </c>
    </row>
    <row r="8" spans="1:6" ht="14.25" customHeight="1">
      <c r="A8" t="s">
        <v>404</v>
      </c>
      <c r="B8" t="s">
        <v>144</v>
      </c>
      <c r="C8" t="s">
        <v>225</v>
      </c>
      <c r="D8" t="s">
        <v>226</v>
      </c>
      <c r="E8" t="s">
        <v>227</v>
      </c>
      <c r="F8" t="s">
        <v>405</v>
      </c>
    </row>
    <row r="9" spans="1:6" ht="14.25" customHeight="1">
      <c r="A9" t="s">
        <v>406</v>
      </c>
      <c r="B9" t="s">
        <v>144</v>
      </c>
      <c r="C9" t="s">
        <v>145</v>
      </c>
      <c r="D9" t="s">
        <v>146</v>
      </c>
      <c r="E9" t="s">
        <v>147</v>
      </c>
      <c r="F9" t="s">
        <v>407</v>
      </c>
    </row>
    <row r="10" spans="1:6" ht="14.25" customHeight="1">
      <c r="A10" t="s">
        <v>408</v>
      </c>
      <c r="B10" t="s">
        <v>144</v>
      </c>
      <c r="C10" t="s">
        <v>145</v>
      </c>
      <c r="D10" t="s">
        <v>146</v>
      </c>
      <c r="E10" t="s">
        <v>147</v>
      </c>
      <c r="F10" t="s">
        <v>146</v>
      </c>
    </row>
    <row r="11" spans="1:6" ht="14.25" customHeight="1">
      <c r="A11" t="s">
        <v>409</v>
      </c>
      <c r="B11" t="s">
        <v>144</v>
      </c>
      <c r="C11" t="s">
        <v>145</v>
      </c>
      <c r="D11" t="s">
        <v>146</v>
      </c>
      <c r="E11" t="s">
        <v>147</v>
      </c>
      <c r="F11" t="s">
        <v>146</v>
      </c>
    </row>
    <row r="12" spans="1:6" ht="14.25" customHeight="1">
      <c r="A12" t="s">
        <v>410</v>
      </c>
      <c r="B12" t="s">
        <v>144</v>
      </c>
      <c r="C12" t="s">
        <v>145</v>
      </c>
      <c r="D12" t="s">
        <v>153</v>
      </c>
      <c r="E12" t="s">
        <v>154</v>
      </c>
      <c r="F12" t="s">
        <v>411</v>
      </c>
    </row>
    <row r="13" spans="1:6" ht="14.25" customHeight="1">
      <c r="A13" t="s">
        <v>412</v>
      </c>
      <c r="B13" t="s">
        <v>144</v>
      </c>
      <c r="C13" t="s">
        <v>145</v>
      </c>
      <c r="D13" t="s">
        <v>153</v>
      </c>
      <c r="E13" t="s">
        <v>154</v>
      </c>
      <c r="F13" t="s">
        <v>413</v>
      </c>
    </row>
    <row r="14" spans="1:6" ht="14.25" customHeight="1">
      <c r="A14" t="s">
        <v>414</v>
      </c>
      <c r="B14" t="s">
        <v>144</v>
      </c>
      <c r="C14" t="s">
        <v>145</v>
      </c>
      <c r="D14" t="s">
        <v>158</v>
      </c>
      <c r="E14" t="s">
        <v>161</v>
      </c>
      <c r="F14" t="s">
        <v>161</v>
      </c>
    </row>
    <row r="15" spans="1:6" ht="14.25" customHeight="1">
      <c r="A15" t="s">
        <v>415</v>
      </c>
      <c r="B15" t="s">
        <v>144</v>
      </c>
      <c r="C15" t="s">
        <v>145</v>
      </c>
      <c r="D15" t="s">
        <v>158</v>
      </c>
      <c r="E15" t="s">
        <v>159</v>
      </c>
      <c r="F15" t="s">
        <v>416</v>
      </c>
    </row>
    <row r="16" spans="1:6" ht="14.25" customHeight="1">
      <c r="A16" t="s">
        <v>417</v>
      </c>
      <c r="B16" t="s">
        <v>144</v>
      </c>
      <c r="C16" t="s">
        <v>145</v>
      </c>
      <c r="D16" t="s">
        <v>146</v>
      </c>
      <c r="E16" t="s">
        <v>149</v>
      </c>
      <c r="F16" t="s">
        <v>418</v>
      </c>
    </row>
    <row r="17" spans="1:6" ht="14.25" customHeight="1">
      <c r="A17" t="s">
        <v>419</v>
      </c>
      <c r="B17" t="s">
        <v>144</v>
      </c>
      <c r="C17" t="s">
        <v>145</v>
      </c>
      <c r="D17" t="s">
        <v>146</v>
      </c>
      <c r="E17" t="s">
        <v>147</v>
      </c>
      <c r="F17" t="s">
        <v>146</v>
      </c>
    </row>
    <row r="18" spans="1:6" ht="14.25" customHeight="1">
      <c r="A18" t="s">
        <v>420</v>
      </c>
      <c r="B18" t="s">
        <v>144</v>
      </c>
      <c r="C18" t="s">
        <v>145</v>
      </c>
      <c r="D18" t="s">
        <v>153</v>
      </c>
      <c r="E18" t="s">
        <v>149</v>
      </c>
      <c r="F18" t="s">
        <v>421</v>
      </c>
    </row>
    <row r="19" spans="1:6" ht="14.25" customHeight="1">
      <c r="A19" t="s">
        <v>422</v>
      </c>
      <c r="B19" t="s">
        <v>144</v>
      </c>
      <c r="C19" t="s">
        <v>145</v>
      </c>
      <c r="D19" t="s">
        <v>153</v>
      </c>
      <c r="E19" t="s">
        <v>149</v>
      </c>
      <c r="F19" t="s">
        <v>421</v>
      </c>
    </row>
    <row r="20" spans="1:6" ht="14.25" customHeight="1">
      <c r="A20" t="s">
        <v>423</v>
      </c>
      <c r="B20" t="s">
        <v>144</v>
      </c>
      <c r="C20" t="s">
        <v>167</v>
      </c>
      <c r="D20" t="s">
        <v>168</v>
      </c>
      <c r="E20" t="s">
        <v>169</v>
      </c>
      <c r="F20" t="s">
        <v>424</v>
      </c>
    </row>
    <row r="21" spans="1:6" ht="14.25" customHeight="1">
      <c r="A21" t="s">
        <v>425</v>
      </c>
      <c r="B21" t="s">
        <v>144</v>
      </c>
      <c r="C21" t="s">
        <v>178</v>
      </c>
      <c r="D21" t="s">
        <v>179</v>
      </c>
      <c r="E21" t="s">
        <v>180</v>
      </c>
      <c r="F21" t="s">
        <v>180</v>
      </c>
    </row>
    <row r="22" spans="1:6" ht="14.25" customHeight="1">
      <c r="A22" t="s">
        <v>426</v>
      </c>
      <c r="B22" t="s">
        <v>144</v>
      </c>
      <c r="C22" t="s">
        <v>178</v>
      </c>
      <c r="D22" t="s">
        <v>179</v>
      </c>
      <c r="E22" t="s">
        <v>180</v>
      </c>
      <c r="F22" t="s">
        <v>427</v>
      </c>
    </row>
    <row r="23" spans="1:6" ht="14.25" customHeight="1">
      <c r="A23" t="s">
        <v>428</v>
      </c>
      <c r="B23" t="s">
        <v>144</v>
      </c>
      <c r="C23" t="s">
        <v>178</v>
      </c>
      <c r="D23" t="s">
        <v>179</v>
      </c>
      <c r="E23" t="s">
        <v>180</v>
      </c>
      <c r="F23" t="s">
        <v>429</v>
      </c>
    </row>
    <row r="24" spans="1:6" ht="14.25" customHeight="1">
      <c r="A24" t="s">
        <v>430</v>
      </c>
      <c r="B24" t="s">
        <v>144</v>
      </c>
      <c r="C24" t="s">
        <v>178</v>
      </c>
      <c r="D24" t="s">
        <v>179</v>
      </c>
      <c r="E24" t="s">
        <v>180</v>
      </c>
      <c r="F24" t="s">
        <v>431</v>
      </c>
    </row>
    <row r="25" spans="1:6" ht="14.25" customHeight="1">
      <c r="A25" t="s">
        <v>432</v>
      </c>
      <c r="B25" t="s">
        <v>144</v>
      </c>
      <c r="C25" t="s">
        <v>167</v>
      </c>
      <c r="D25" t="s">
        <v>173</v>
      </c>
      <c r="E25" t="s">
        <v>174</v>
      </c>
      <c r="F25" t="s">
        <v>174</v>
      </c>
    </row>
    <row r="26" spans="1:6" ht="14.25" customHeight="1">
      <c r="A26" t="s">
        <v>433</v>
      </c>
      <c r="B26" t="s">
        <v>144</v>
      </c>
      <c r="C26" t="s">
        <v>178</v>
      </c>
      <c r="D26" t="s">
        <v>210</v>
      </c>
      <c r="E26" t="s">
        <v>211</v>
      </c>
      <c r="F26" t="s">
        <v>434</v>
      </c>
    </row>
    <row r="27" spans="1:6" ht="14.25" customHeight="1">
      <c r="A27" t="s">
        <v>435</v>
      </c>
      <c r="B27" t="s">
        <v>144</v>
      </c>
      <c r="C27" t="s">
        <v>178</v>
      </c>
      <c r="D27" t="s">
        <v>210</v>
      </c>
      <c r="E27" t="s">
        <v>211</v>
      </c>
      <c r="F27" t="s">
        <v>436</v>
      </c>
    </row>
    <row r="28" spans="1:6" ht="14.25" customHeight="1">
      <c r="A28" t="s">
        <v>437</v>
      </c>
      <c r="B28" t="s">
        <v>144</v>
      </c>
      <c r="C28" t="s">
        <v>178</v>
      </c>
      <c r="D28" t="s">
        <v>198</v>
      </c>
      <c r="E28" t="s">
        <v>199</v>
      </c>
      <c r="F28" t="s">
        <v>438</v>
      </c>
    </row>
    <row r="29" spans="1:6" ht="14.25" customHeight="1">
      <c r="A29" t="s">
        <v>439</v>
      </c>
      <c r="B29" t="s">
        <v>144</v>
      </c>
      <c r="C29" t="s">
        <v>178</v>
      </c>
      <c r="D29" t="s">
        <v>198</v>
      </c>
      <c r="E29" t="s">
        <v>199</v>
      </c>
      <c r="F29" t="s">
        <v>440</v>
      </c>
    </row>
    <row r="30" spans="1:6" ht="14.25" customHeight="1">
      <c r="A30" t="s">
        <v>441</v>
      </c>
      <c r="B30" t="s">
        <v>144</v>
      </c>
      <c r="C30" t="s">
        <v>178</v>
      </c>
      <c r="D30" t="s">
        <v>198</v>
      </c>
      <c r="E30" t="s">
        <v>199</v>
      </c>
      <c r="F30" t="s">
        <v>440</v>
      </c>
    </row>
    <row r="31" spans="1:6" ht="14.25" customHeight="1">
      <c r="A31" t="s">
        <v>442</v>
      </c>
      <c r="B31" t="s">
        <v>144</v>
      </c>
      <c r="C31" t="s">
        <v>178</v>
      </c>
      <c r="D31" t="s">
        <v>198</v>
      </c>
      <c r="E31" t="s">
        <v>199</v>
      </c>
      <c r="F31" t="s">
        <v>440</v>
      </c>
    </row>
    <row r="32" spans="1:6" ht="14.25" customHeight="1">
      <c r="A32" t="s">
        <v>443</v>
      </c>
      <c r="B32" t="s">
        <v>144</v>
      </c>
      <c r="C32" t="s">
        <v>178</v>
      </c>
      <c r="D32" t="s">
        <v>198</v>
      </c>
      <c r="E32" t="s">
        <v>199</v>
      </c>
      <c r="F32" t="s">
        <v>440</v>
      </c>
    </row>
    <row r="33" spans="1:6" ht="14.25" customHeight="1">
      <c r="A33" t="s">
        <v>444</v>
      </c>
      <c r="B33" t="s">
        <v>144</v>
      </c>
      <c r="C33" t="s">
        <v>178</v>
      </c>
      <c r="D33" t="s">
        <v>198</v>
      </c>
      <c r="E33" t="s">
        <v>199</v>
      </c>
      <c r="F33" t="s">
        <v>445</v>
      </c>
    </row>
    <row r="34" spans="1:6" ht="14.25" customHeight="1">
      <c r="A34" t="s">
        <v>446</v>
      </c>
      <c r="B34" t="s">
        <v>144</v>
      </c>
      <c r="C34" t="s">
        <v>178</v>
      </c>
      <c r="D34" t="s">
        <v>205</v>
      </c>
      <c r="E34" t="s">
        <v>91</v>
      </c>
      <c r="F34" t="s">
        <v>447</v>
      </c>
    </row>
    <row r="35" spans="1:6" ht="14.25" customHeight="1">
      <c r="A35" t="s">
        <v>448</v>
      </c>
      <c r="B35" t="s">
        <v>144</v>
      </c>
      <c r="C35" t="s">
        <v>178</v>
      </c>
      <c r="D35" t="s">
        <v>205</v>
      </c>
      <c r="E35" t="s">
        <v>124</v>
      </c>
      <c r="F35" t="s">
        <v>449</v>
      </c>
    </row>
    <row r="36" spans="1:6" ht="14.25" customHeight="1">
      <c r="A36" t="s">
        <v>450</v>
      </c>
      <c r="B36" t="s">
        <v>144</v>
      </c>
      <c r="C36" t="s">
        <v>178</v>
      </c>
      <c r="D36" t="s">
        <v>203</v>
      </c>
      <c r="E36" t="s">
        <v>204</v>
      </c>
      <c r="F36" t="s">
        <v>204</v>
      </c>
    </row>
    <row r="37" spans="1:6" ht="14.25" customHeight="1">
      <c r="A37" t="s">
        <v>451</v>
      </c>
      <c r="B37" t="s">
        <v>144</v>
      </c>
      <c r="C37" t="s">
        <v>178</v>
      </c>
      <c r="D37" t="s">
        <v>203</v>
      </c>
      <c r="E37" t="s">
        <v>204</v>
      </c>
      <c r="F37" t="s">
        <v>204</v>
      </c>
    </row>
    <row r="38" spans="1:6" ht="14.25" customHeight="1">
      <c r="A38" t="s">
        <v>452</v>
      </c>
      <c r="B38" t="s">
        <v>144</v>
      </c>
      <c r="C38" t="s">
        <v>178</v>
      </c>
      <c r="D38" t="s">
        <v>203</v>
      </c>
      <c r="E38" t="s">
        <v>204</v>
      </c>
      <c r="F38" t="s">
        <v>204</v>
      </c>
    </row>
    <row r="39" spans="1:6" ht="14.25" customHeight="1">
      <c r="A39" t="s">
        <v>453</v>
      </c>
      <c r="B39" t="s">
        <v>144</v>
      </c>
      <c r="C39" t="s">
        <v>178</v>
      </c>
      <c r="D39" t="s">
        <v>203</v>
      </c>
      <c r="E39" t="s">
        <v>204</v>
      </c>
      <c r="F39" t="s">
        <v>204</v>
      </c>
    </row>
    <row r="40" spans="1:6" ht="14.25" customHeight="1">
      <c r="A40" t="s">
        <v>454</v>
      </c>
      <c r="B40" t="s">
        <v>144</v>
      </c>
      <c r="C40" t="s">
        <v>178</v>
      </c>
      <c r="D40" t="s">
        <v>203</v>
      </c>
      <c r="E40" t="s">
        <v>204</v>
      </c>
      <c r="F40" t="s">
        <v>204</v>
      </c>
    </row>
    <row r="41" spans="1:6" ht="14.25" customHeight="1">
      <c r="A41" t="s">
        <v>455</v>
      </c>
      <c r="B41" t="s">
        <v>144</v>
      </c>
      <c r="C41" t="s">
        <v>178</v>
      </c>
      <c r="D41" t="s">
        <v>203</v>
      </c>
      <c r="E41" t="s">
        <v>204</v>
      </c>
      <c r="F41" t="s">
        <v>204</v>
      </c>
    </row>
    <row r="42" spans="1:6" ht="14.25" customHeight="1">
      <c r="A42" t="s">
        <v>456</v>
      </c>
      <c r="B42" t="s">
        <v>144</v>
      </c>
      <c r="C42" t="s">
        <v>178</v>
      </c>
      <c r="D42" t="s">
        <v>203</v>
      </c>
      <c r="E42" t="s">
        <v>204</v>
      </c>
      <c r="F42" t="s">
        <v>204</v>
      </c>
    </row>
    <row r="43" spans="1:6" ht="14.25" customHeight="1">
      <c r="A43" t="s">
        <v>457</v>
      </c>
      <c r="B43" t="s">
        <v>144</v>
      </c>
      <c r="C43" t="s">
        <v>178</v>
      </c>
      <c r="D43" t="s">
        <v>203</v>
      </c>
      <c r="E43" t="s">
        <v>204</v>
      </c>
      <c r="F43" t="s">
        <v>204</v>
      </c>
    </row>
    <row r="44" spans="1:6" ht="14.25" customHeight="1">
      <c r="A44" t="s">
        <v>458</v>
      </c>
      <c r="B44" t="s">
        <v>144</v>
      </c>
      <c r="C44" t="s">
        <v>178</v>
      </c>
      <c r="D44" t="s">
        <v>203</v>
      </c>
      <c r="E44" t="s">
        <v>204</v>
      </c>
      <c r="F44" t="s">
        <v>204</v>
      </c>
    </row>
    <row r="45" spans="1:6" ht="14.25" customHeight="1">
      <c r="A45" t="s">
        <v>459</v>
      </c>
      <c r="B45" t="s">
        <v>144</v>
      </c>
      <c r="C45" t="s">
        <v>178</v>
      </c>
      <c r="D45" t="s">
        <v>203</v>
      </c>
      <c r="E45" t="s">
        <v>204</v>
      </c>
      <c r="F45" t="s">
        <v>204</v>
      </c>
    </row>
    <row r="46" spans="1:6" ht="14.25" customHeight="1">
      <c r="A46" t="s">
        <v>460</v>
      </c>
      <c r="B46" t="s">
        <v>144</v>
      </c>
      <c r="C46" t="s">
        <v>178</v>
      </c>
      <c r="D46" t="s">
        <v>205</v>
      </c>
      <c r="E46" t="s">
        <v>204</v>
      </c>
      <c r="F46" t="s">
        <v>461</v>
      </c>
    </row>
    <row r="47" spans="1:6" ht="14.25" customHeight="1">
      <c r="A47" t="s">
        <v>462</v>
      </c>
      <c r="B47" t="s">
        <v>144</v>
      </c>
      <c r="C47" t="s">
        <v>178</v>
      </c>
      <c r="D47" t="s">
        <v>205</v>
      </c>
      <c r="E47" t="s">
        <v>204</v>
      </c>
      <c r="F47" t="s">
        <v>461</v>
      </c>
    </row>
    <row r="48" spans="1:6" ht="14.25" customHeight="1">
      <c r="A48" t="s">
        <v>463</v>
      </c>
      <c r="B48" t="s">
        <v>144</v>
      </c>
      <c r="C48" t="s">
        <v>178</v>
      </c>
      <c r="D48" t="s">
        <v>205</v>
      </c>
      <c r="E48" t="s">
        <v>91</v>
      </c>
      <c r="F48" t="s">
        <v>464</v>
      </c>
    </row>
    <row r="49" spans="1:6" ht="14.25" customHeight="1">
      <c r="A49" t="s">
        <v>465</v>
      </c>
      <c r="B49" t="s">
        <v>144</v>
      </c>
      <c r="C49" t="s">
        <v>178</v>
      </c>
      <c r="D49" t="s">
        <v>205</v>
      </c>
      <c r="E49" t="s">
        <v>91</v>
      </c>
      <c r="F49" t="s">
        <v>464</v>
      </c>
    </row>
    <row r="50" spans="1:6" ht="14.25" customHeight="1">
      <c r="A50" t="s">
        <v>466</v>
      </c>
      <c r="B50" t="s">
        <v>144</v>
      </c>
      <c r="C50" t="s">
        <v>178</v>
      </c>
      <c r="D50" t="s">
        <v>205</v>
      </c>
      <c r="E50" t="s">
        <v>91</v>
      </c>
      <c r="F50" t="s">
        <v>464</v>
      </c>
    </row>
    <row r="51" spans="1:6" ht="14.25" customHeight="1">
      <c r="A51" t="s">
        <v>467</v>
      </c>
      <c r="B51" t="s">
        <v>144</v>
      </c>
      <c r="C51" t="s">
        <v>178</v>
      </c>
      <c r="D51" t="s">
        <v>231</v>
      </c>
      <c r="E51" t="s">
        <v>232</v>
      </c>
      <c r="F51" t="s">
        <v>468</v>
      </c>
    </row>
    <row r="52" spans="1:6" ht="14.25" customHeight="1">
      <c r="A52" t="s">
        <v>469</v>
      </c>
      <c r="B52" t="s">
        <v>144</v>
      </c>
      <c r="C52" t="s">
        <v>178</v>
      </c>
      <c r="D52" t="s">
        <v>231</v>
      </c>
      <c r="E52" t="s">
        <v>232</v>
      </c>
      <c r="F52" t="s">
        <v>468</v>
      </c>
    </row>
    <row r="53" spans="1:6" ht="14.25" customHeight="1">
      <c r="A53" t="s">
        <v>470</v>
      </c>
      <c r="B53" t="s">
        <v>144</v>
      </c>
      <c r="C53" t="s">
        <v>178</v>
      </c>
      <c r="D53" t="s">
        <v>231</v>
      </c>
      <c r="E53" t="s">
        <v>232</v>
      </c>
      <c r="F53" t="s">
        <v>468</v>
      </c>
    </row>
    <row r="54" spans="1:6" ht="14.25" customHeight="1">
      <c r="A54" t="s">
        <v>471</v>
      </c>
      <c r="B54" t="s">
        <v>144</v>
      </c>
      <c r="C54" t="s">
        <v>178</v>
      </c>
      <c r="D54" t="s">
        <v>231</v>
      </c>
      <c r="E54" t="s">
        <v>232</v>
      </c>
      <c r="F54" t="s">
        <v>472</v>
      </c>
    </row>
    <row r="55" spans="1:6" ht="14.25" customHeight="1">
      <c r="A55" t="s">
        <v>473</v>
      </c>
      <c r="B55" t="s">
        <v>144</v>
      </c>
      <c r="C55" t="s">
        <v>167</v>
      </c>
      <c r="D55" t="s">
        <v>186</v>
      </c>
      <c r="E55" t="s">
        <v>187</v>
      </c>
      <c r="F55" t="s">
        <v>474</v>
      </c>
    </row>
    <row r="56" spans="1:6" ht="14.25" customHeight="1">
      <c r="A56" t="s">
        <v>475</v>
      </c>
      <c r="B56" t="s">
        <v>144</v>
      </c>
      <c r="C56" t="s">
        <v>167</v>
      </c>
      <c r="D56" t="s">
        <v>179</v>
      </c>
      <c r="E56" t="s">
        <v>180</v>
      </c>
      <c r="F56" t="s">
        <v>180</v>
      </c>
    </row>
    <row r="57" spans="1:6" ht="14.25" customHeight="1">
      <c r="A57" t="s">
        <v>476</v>
      </c>
      <c r="B57" t="s">
        <v>144</v>
      </c>
      <c r="C57" t="s">
        <v>167</v>
      </c>
      <c r="D57" t="s">
        <v>186</v>
      </c>
      <c r="E57" t="s">
        <v>187</v>
      </c>
      <c r="F57" t="s">
        <v>477</v>
      </c>
    </row>
    <row r="58" spans="1:6" ht="14.25" customHeight="1">
      <c r="A58" t="s">
        <v>478</v>
      </c>
      <c r="B58" t="s">
        <v>144</v>
      </c>
      <c r="C58" t="s">
        <v>167</v>
      </c>
      <c r="D58" t="s">
        <v>191</v>
      </c>
      <c r="E58" t="s">
        <v>192</v>
      </c>
      <c r="F58" t="s">
        <v>191</v>
      </c>
    </row>
    <row r="59" spans="1:6" ht="14.25" customHeight="1">
      <c r="A59" t="s">
        <v>479</v>
      </c>
      <c r="B59" t="s">
        <v>144</v>
      </c>
      <c r="C59" t="s">
        <v>219</v>
      </c>
      <c r="D59" t="s">
        <v>220</v>
      </c>
      <c r="E59" t="s">
        <v>221</v>
      </c>
      <c r="F59" t="s">
        <v>480</v>
      </c>
    </row>
    <row r="60" spans="1:6" ht="14.25" customHeight="1">
      <c r="A60" t="s">
        <v>481</v>
      </c>
      <c r="B60" t="s">
        <v>144</v>
      </c>
      <c r="C60" t="s">
        <v>219</v>
      </c>
      <c r="D60" t="s">
        <v>220</v>
      </c>
      <c r="E60" t="s">
        <v>221</v>
      </c>
      <c r="F60" t="s">
        <v>220</v>
      </c>
    </row>
    <row r="61" spans="1:6" ht="14.25" customHeight="1">
      <c r="A61" t="s">
        <v>482</v>
      </c>
      <c r="B61" t="s">
        <v>144</v>
      </c>
      <c r="C61" t="s">
        <v>219</v>
      </c>
      <c r="D61" t="s">
        <v>220</v>
      </c>
      <c r="E61" t="s">
        <v>221</v>
      </c>
      <c r="F61" t="s">
        <v>220</v>
      </c>
    </row>
    <row r="62" spans="1:6" ht="14.25" customHeight="1">
      <c r="A62" t="s">
        <v>483</v>
      </c>
      <c r="B62" t="s">
        <v>144</v>
      </c>
      <c r="C62" t="s">
        <v>219</v>
      </c>
      <c r="D62" t="s">
        <v>484</v>
      </c>
      <c r="E62" t="s">
        <v>485</v>
      </c>
      <c r="F62" t="s">
        <v>484</v>
      </c>
    </row>
    <row r="63" spans="1:6" ht="14.25" customHeight="1">
      <c r="A63" t="s">
        <v>486</v>
      </c>
      <c r="B63" t="s">
        <v>48</v>
      </c>
      <c r="C63" t="s">
        <v>49</v>
      </c>
      <c r="D63" t="s">
        <v>55</v>
      </c>
      <c r="E63" t="s">
        <v>56</v>
      </c>
      <c r="F63" t="s">
        <v>57</v>
      </c>
    </row>
    <row r="64" spans="1:6" ht="14.25" customHeight="1">
      <c r="A64" t="s">
        <v>487</v>
      </c>
      <c r="B64" t="s">
        <v>48</v>
      </c>
      <c r="C64" t="s">
        <v>49</v>
      </c>
      <c r="D64" t="s">
        <v>55</v>
      </c>
      <c r="E64" t="s">
        <v>56</v>
      </c>
      <c r="F64" t="s">
        <v>58</v>
      </c>
    </row>
    <row r="65" spans="1:6" ht="14.25" customHeight="1">
      <c r="A65" t="s">
        <v>488</v>
      </c>
      <c r="B65" t="s">
        <v>48</v>
      </c>
      <c r="C65" t="s">
        <v>49</v>
      </c>
      <c r="D65" t="s">
        <v>55</v>
      </c>
      <c r="E65" t="s">
        <v>60</v>
      </c>
      <c r="F65" t="s">
        <v>61</v>
      </c>
    </row>
    <row r="66" spans="1:6" ht="14.25" customHeight="1">
      <c r="A66" t="s">
        <v>489</v>
      </c>
      <c r="B66" t="s">
        <v>48</v>
      </c>
      <c r="C66" t="s">
        <v>49</v>
      </c>
      <c r="D66" t="s">
        <v>55</v>
      </c>
      <c r="E66" t="s">
        <v>56</v>
      </c>
      <c r="F66" t="s">
        <v>59</v>
      </c>
    </row>
    <row r="67" spans="1:6" ht="14.25" customHeight="1">
      <c r="A67" t="s">
        <v>490</v>
      </c>
      <c r="B67" t="s">
        <v>48</v>
      </c>
      <c r="C67" t="s">
        <v>49</v>
      </c>
      <c r="D67" t="s">
        <v>81</v>
      </c>
      <c r="E67" t="s">
        <v>56</v>
      </c>
      <c r="F67" t="s">
        <v>88</v>
      </c>
    </row>
    <row r="68" spans="1:6" ht="14.25" customHeight="1">
      <c r="A68" t="s">
        <v>491</v>
      </c>
      <c r="B68" t="s">
        <v>48</v>
      </c>
      <c r="C68" t="s">
        <v>49</v>
      </c>
      <c r="D68" t="s">
        <v>55</v>
      </c>
      <c r="E68" t="s">
        <v>56</v>
      </c>
      <c r="F68" t="s">
        <v>492</v>
      </c>
    </row>
    <row r="69" spans="1:6" ht="14.25" customHeight="1">
      <c r="A69" t="s">
        <v>493</v>
      </c>
      <c r="B69" t="s">
        <v>48</v>
      </c>
      <c r="C69" t="s">
        <v>49</v>
      </c>
      <c r="D69" t="s">
        <v>81</v>
      </c>
      <c r="E69" t="s">
        <v>60</v>
      </c>
      <c r="F69" t="s">
        <v>96</v>
      </c>
    </row>
    <row r="70" spans="1:6" ht="14.25" customHeight="1">
      <c r="A70" t="s">
        <v>494</v>
      </c>
      <c r="B70" t="s">
        <v>48</v>
      </c>
      <c r="C70" t="s">
        <v>49</v>
      </c>
      <c r="D70" t="s">
        <v>81</v>
      </c>
      <c r="E70" t="s">
        <v>56</v>
      </c>
      <c r="F70" t="s">
        <v>84</v>
      </c>
    </row>
    <row r="71" spans="1:6" ht="14.25" customHeight="1">
      <c r="A71" t="s">
        <v>495</v>
      </c>
      <c r="B71" t="s">
        <v>48</v>
      </c>
      <c r="C71" t="s">
        <v>49</v>
      </c>
      <c r="D71" t="s">
        <v>81</v>
      </c>
      <c r="E71" t="s">
        <v>56</v>
      </c>
      <c r="F71" t="s">
        <v>85</v>
      </c>
    </row>
    <row r="72" spans="1:6" ht="14.25" customHeight="1">
      <c r="A72" t="s">
        <v>496</v>
      </c>
      <c r="B72" t="s">
        <v>48</v>
      </c>
      <c r="C72" t="s">
        <v>49</v>
      </c>
      <c r="D72" t="s">
        <v>81</v>
      </c>
      <c r="E72" t="s">
        <v>56</v>
      </c>
      <c r="F72" t="s">
        <v>85</v>
      </c>
    </row>
    <row r="73" spans="1:6" ht="14.25" customHeight="1">
      <c r="A73" t="s">
        <v>497</v>
      </c>
      <c r="B73" t="s">
        <v>48</v>
      </c>
      <c r="C73" t="s">
        <v>49</v>
      </c>
      <c r="D73" t="s">
        <v>81</v>
      </c>
      <c r="E73" t="s">
        <v>56</v>
      </c>
      <c r="F73" t="s">
        <v>89</v>
      </c>
    </row>
    <row r="74" spans="1:6" ht="14.25" customHeight="1">
      <c r="A74" t="s">
        <v>498</v>
      </c>
      <c r="B74" t="s">
        <v>48</v>
      </c>
      <c r="C74" t="s">
        <v>49</v>
      </c>
      <c r="D74" t="s">
        <v>81</v>
      </c>
      <c r="E74" t="s">
        <v>56</v>
      </c>
      <c r="F74" t="s">
        <v>89</v>
      </c>
    </row>
    <row r="75" spans="1:6" ht="14.25" customHeight="1">
      <c r="A75" t="s">
        <v>499</v>
      </c>
      <c r="B75" t="s">
        <v>48</v>
      </c>
      <c r="C75" t="s">
        <v>49</v>
      </c>
      <c r="D75" t="s">
        <v>81</v>
      </c>
      <c r="E75" t="s">
        <v>56</v>
      </c>
      <c r="F75" t="s">
        <v>85</v>
      </c>
    </row>
    <row r="76" spans="1:6" ht="14.25" customHeight="1">
      <c r="A76" t="s">
        <v>500</v>
      </c>
      <c r="B76" t="s">
        <v>48</v>
      </c>
      <c r="C76" t="s">
        <v>49</v>
      </c>
      <c r="D76" t="s">
        <v>81</v>
      </c>
      <c r="E76" t="s">
        <v>56</v>
      </c>
      <c r="F76" t="s">
        <v>83</v>
      </c>
    </row>
    <row r="77" spans="1:6" ht="14.25" customHeight="1">
      <c r="A77" t="s">
        <v>501</v>
      </c>
      <c r="B77" t="s">
        <v>48</v>
      </c>
      <c r="C77" t="s">
        <v>49</v>
      </c>
      <c r="D77" t="s">
        <v>81</v>
      </c>
      <c r="E77" t="s">
        <v>56</v>
      </c>
      <c r="F77" t="s">
        <v>93</v>
      </c>
    </row>
    <row r="78" spans="1:6" ht="14.25" customHeight="1">
      <c r="A78" t="s">
        <v>502</v>
      </c>
      <c r="B78" t="s">
        <v>48</v>
      </c>
      <c r="C78" t="s">
        <v>49</v>
      </c>
      <c r="D78" t="s">
        <v>81</v>
      </c>
      <c r="E78" t="s">
        <v>56</v>
      </c>
      <c r="F78" t="s">
        <v>98</v>
      </c>
    </row>
    <row r="79" spans="1:6" ht="14.25" customHeight="1">
      <c r="A79" t="s">
        <v>503</v>
      </c>
      <c r="B79" t="s">
        <v>48</v>
      </c>
      <c r="C79" t="s">
        <v>49</v>
      </c>
      <c r="D79" t="s">
        <v>81</v>
      </c>
      <c r="E79" t="s">
        <v>56</v>
      </c>
      <c r="F79" t="s">
        <v>100</v>
      </c>
    </row>
    <row r="80" spans="1:6" ht="14.25" customHeight="1">
      <c r="A80" t="s">
        <v>504</v>
      </c>
      <c r="B80" t="s">
        <v>48</v>
      </c>
      <c r="C80" t="s">
        <v>49</v>
      </c>
      <c r="D80" t="s">
        <v>69</v>
      </c>
      <c r="E80" t="s">
        <v>56</v>
      </c>
      <c r="F80" t="s">
        <v>70</v>
      </c>
    </row>
    <row r="81" spans="1:6" ht="14.25" customHeight="1">
      <c r="A81" t="s">
        <v>505</v>
      </c>
      <c r="B81" t="s">
        <v>48</v>
      </c>
      <c r="C81" t="s">
        <v>49</v>
      </c>
      <c r="D81" t="s">
        <v>81</v>
      </c>
      <c r="E81" t="s">
        <v>56</v>
      </c>
      <c r="F81" t="s">
        <v>82</v>
      </c>
    </row>
    <row r="82" spans="1:6" ht="14.25" customHeight="1">
      <c r="A82" t="s">
        <v>506</v>
      </c>
      <c r="B82" t="s">
        <v>48</v>
      </c>
      <c r="C82" t="s">
        <v>49</v>
      </c>
      <c r="D82" t="s">
        <v>81</v>
      </c>
      <c r="E82" t="s">
        <v>56</v>
      </c>
      <c r="F82" t="s">
        <v>82</v>
      </c>
    </row>
    <row r="83" spans="1:6" ht="14.25" customHeight="1">
      <c r="A83" t="s">
        <v>507</v>
      </c>
      <c r="B83" t="s">
        <v>48</v>
      </c>
      <c r="C83" t="s">
        <v>49</v>
      </c>
      <c r="D83" t="s">
        <v>81</v>
      </c>
      <c r="E83" t="s">
        <v>56</v>
      </c>
      <c r="F83" t="s">
        <v>82</v>
      </c>
    </row>
    <row r="84" spans="1:6" ht="14.25" customHeight="1">
      <c r="A84" t="s">
        <v>508</v>
      </c>
      <c r="B84" t="s">
        <v>48</v>
      </c>
      <c r="C84" t="s">
        <v>49</v>
      </c>
      <c r="D84" t="s">
        <v>81</v>
      </c>
      <c r="E84" t="s">
        <v>56</v>
      </c>
      <c r="F84" t="s">
        <v>82</v>
      </c>
    </row>
    <row r="85" spans="1:6" ht="14.25" customHeight="1">
      <c r="A85" t="s">
        <v>509</v>
      </c>
      <c r="B85" t="s">
        <v>48</v>
      </c>
      <c r="C85" t="s">
        <v>49</v>
      </c>
      <c r="D85" t="s">
        <v>81</v>
      </c>
      <c r="E85" t="s">
        <v>56</v>
      </c>
      <c r="F85" t="s">
        <v>82</v>
      </c>
    </row>
    <row r="86" spans="1:6" ht="14.25" customHeight="1">
      <c r="A86" t="s">
        <v>510</v>
      </c>
      <c r="B86" t="s">
        <v>48</v>
      </c>
      <c r="C86" t="s">
        <v>49</v>
      </c>
      <c r="D86" t="s">
        <v>81</v>
      </c>
      <c r="E86" t="s">
        <v>56</v>
      </c>
      <c r="F86" t="s">
        <v>99</v>
      </c>
    </row>
    <row r="87" spans="1:6" ht="14.25" customHeight="1">
      <c r="A87" t="s">
        <v>511</v>
      </c>
      <c r="B87" t="s">
        <v>48</v>
      </c>
      <c r="C87" t="s">
        <v>49</v>
      </c>
      <c r="D87" t="s">
        <v>69</v>
      </c>
      <c r="E87" t="s">
        <v>56</v>
      </c>
      <c r="F87" t="s">
        <v>71</v>
      </c>
    </row>
    <row r="88" spans="1:6" ht="14.25" customHeight="1">
      <c r="A88" t="s">
        <v>512</v>
      </c>
      <c r="B88" t="s">
        <v>48</v>
      </c>
      <c r="C88" t="s">
        <v>49</v>
      </c>
      <c r="D88" t="s">
        <v>69</v>
      </c>
      <c r="E88" t="s">
        <v>56</v>
      </c>
      <c r="F88" t="s">
        <v>71</v>
      </c>
    </row>
    <row r="89" spans="1:6" ht="14.25" customHeight="1">
      <c r="A89" t="s">
        <v>513</v>
      </c>
      <c r="B89" t="s">
        <v>48</v>
      </c>
      <c r="C89" t="s">
        <v>49</v>
      </c>
      <c r="D89" t="s">
        <v>81</v>
      </c>
      <c r="E89" t="s">
        <v>56</v>
      </c>
      <c r="F89" t="s">
        <v>88</v>
      </c>
    </row>
    <row r="90" spans="1:6" ht="14.25" customHeight="1">
      <c r="A90" t="s">
        <v>514</v>
      </c>
      <c r="B90" t="s">
        <v>48</v>
      </c>
      <c r="C90" t="s">
        <v>49</v>
      </c>
      <c r="D90" t="s">
        <v>69</v>
      </c>
      <c r="E90" t="s">
        <v>56</v>
      </c>
      <c r="F90" t="s">
        <v>70</v>
      </c>
    </row>
    <row r="91" spans="1:6" ht="14.25" customHeight="1">
      <c r="A91" t="s">
        <v>515</v>
      </c>
      <c r="B91" t="s">
        <v>48</v>
      </c>
      <c r="C91" t="s">
        <v>49</v>
      </c>
      <c r="D91" t="s">
        <v>81</v>
      </c>
      <c r="E91" t="s">
        <v>56</v>
      </c>
      <c r="F91" t="s">
        <v>92</v>
      </c>
    </row>
    <row r="92" spans="1:6" ht="14.25" customHeight="1">
      <c r="A92" t="s">
        <v>516</v>
      </c>
      <c r="B92" t="s">
        <v>48</v>
      </c>
      <c r="C92" t="s">
        <v>49</v>
      </c>
      <c r="D92" t="s">
        <v>81</v>
      </c>
      <c r="E92" t="s">
        <v>56</v>
      </c>
      <c r="F92" t="s">
        <v>86</v>
      </c>
    </row>
    <row r="93" spans="1:6" ht="14.25" customHeight="1">
      <c r="A93" t="s">
        <v>517</v>
      </c>
      <c r="B93" t="s">
        <v>48</v>
      </c>
      <c r="C93" t="s">
        <v>49</v>
      </c>
      <c r="D93" t="s">
        <v>81</v>
      </c>
      <c r="E93" t="s">
        <v>56</v>
      </c>
      <c r="F93" t="s">
        <v>94</v>
      </c>
    </row>
    <row r="94" spans="1:6" ht="14.25" customHeight="1">
      <c r="A94" t="s">
        <v>518</v>
      </c>
      <c r="B94" t="s">
        <v>48</v>
      </c>
      <c r="C94" t="s">
        <v>49</v>
      </c>
      <c r="D94" t="s">
        <v>81</v>
      </c>
      <c r="E94" t="s">
        <v>56</v>
      </c>
      <c r="F94" t="s">
        <v>90</v>
      </c>
    </row>
    <row r="95" spans="1:6" ht="14.25" customHeight="1">
      <c r="A95" t="s">
        <v>519</v>
      </c>
      <c r="B95" t="s">
        <v>48</v>
      </c>
      <c r="C95" t="s">
        <v>49</v>
      </c>
      <c r="D95" t="s">
        <v>81</v>
      </c>
      <c r="E95" t="s">
        <v>56</v>
      </c>
      <c r="F95" t="s">
        <v>90</v>
      </c>
    </row>
    <row r="96" spans="1:6" ht="14.25" customHeight="1">
      <c r="A96" t="s">
        <v>520</v>
      </c>
      <c r="B96" t="s">
        <v>48</v>
      </c>
      <c r="C96" t="s">
        <v>49</v>
      </c>
      <c r="D96" t="s">
        <v>69</v>
      </c>
      <c r="E96" t="s">
        <v>56</v>
      </c>
      <c r="F96" t="s">
        <v>70</v>
      </c>
    </row>
    <row r="97" spans="1:6" ht="14.25" customHeight="1">
      <c r="A97" t="s">
        <v>521</v>
      </c>
      <c r="B97" t="s">
        <v>48</v>
      </c>
      <c r="C97" t="s">
        <v>49</v>
      </c>
      <c r="D97" t="s">
        <v>81</v>
      </c>
      <c r="E97" t="s">
        <v>56</v>
      </c>
      <c r="F97" t="s">
        <v>97</v>
      </c>
    </row>
    <row r="98" spans="1:6" ht="14.25" customHeight="1">
      <c r="A98" t="s">
        <v>522</v>
      </c>
      <c r="B98" t="s">
        <v>48</v>
      </c>
      <c r="C98" t="s">
        <v>49</v>
      </c>
      <c r="D98" t="s">
        <v>81</v>
      </c>
      <c r="E98" t="s">
        <v>56</v>
      </c>
      <c r="F98" t="s">
        <v>87</v>
      </c>
    </row>
    <row r="99" spans="1:6" ht="14.25" customHeight="1">
      <c r="A99" t="s">
        <v>523</v>
      </c>
      <c r="B99" t="s">
        <v>48</v>
      </c>
      <c r="C99" t="s">
        <v>49</v>
      </c>
      <c r="D99" t="s">
        <v>81</v>
      </c>
      <c r="E99" t="s">
        <v>56</v>
      </c>
      <c r="F99" t="s">
        <v>95</v>
      </c>
    </row>
    <row r="100" spans="1:6" ht="14.25" customHeight="1">
      <c r="A100" t="s">
        <v>524</v>
      </c>
      <c r="B100" t="s">
        <v>48</v>
      </c>
      <c r="C100" t="s">
        <v>49</v>
      </c>
      <c r="D100" t="s">
        <v>81</v>
      </c>
      <c r="E100" t="s">
        <v>56</v>
      </c>
      <c r="F100" t="s">
        <v>91</v>
      </c>
    </row>
    <row r="101" spans="1:6" ht="14.25" customHeight="1">
      <c r="A101" t="s">
        <v>525</v>
      </c>
      <c r="B101" t="s">
        <v>48</v>
      </c>
      <c r="C101" t="s">
        <v>49</v>
      </c>
      <c r="D101" t="s">
        <v>81</v>
      </c>
      <c r="E101" t="s">
        <v>56</v>
      </c>
      <c r="F101" t="s">
        <v>91</v>
      </c>
    </row>
    <row r="102" spans="1:6" ht="14.25" customHeight="1">
      <c r="A102" t="s">
        <v>526</v>
      </c>
      <c r="B102" t="s">
        <v>48</v>
      </c>
      <c r="C102" t="s">
        <v>49</v>
      </c>
      <c r="D102" t="s">
        <v>81</v>
      </c>
      <c r="E102" t="s">
        <v>56</v>
      </c>
      <c r="F102" t="s">
        <v>91</v>
      </c>
    </row>
    <row r="103" spans="1:6" ht="14.25" customHeight="1">
      <c r="A103" t="s">
        <v>527</v>
      </c>
      <c r="B103" t="s">
        <v>48</v>
      </c>
      <c r="C103" t="s">
        <v>49</v>
      </c>
      <c r="D103" t="s">
        <v>210</v>
      </c>
      <c r="E103" t="s">
        <v>528</v>
      </c>
      <c r="F103" t="s">
        <v>529</v>
      </c>
    </row>
    <row r="104" spans="1:6" ht="14.25" customHeight="1">
      <c r="A104" t="s">
        <v>530</v>
      </c>
      <c r="B104" t="s">
        <v>48</v>
      </c>
      <c r="C104" t="s">
        <v>49</v>
      </c>
      <c r="D104" t="s">
        <v>210</v>
      </c>
      <c r="E104" t="s">
        <v>531</v>
      </c>
      <c r="F104" t="s">
        <v>532</v>
      </c>
    </row>
    <row r="105" spans="1:6" ht="14.25" customHeight="1">
      <c r="A105" t="s">
        <v>533</v>
      </c>
      <c r="B105" t="s">
        <v>48</v>
      </c>
      <c r="C105" t="s">
        <v>49</v>
      </c>
      <c r="D105" t="s">
        <v>210</v>
      </c>
      <c r="E105" t="s">
        <v>199</v>
      </c>
      <c r="F105" t="s">
        <v>199</v>
      </c>
    </row>
    <row r="106" spans="1:6" ht="14.25" customHeight="1">
      <c r="A106" t="s">
        <v>534</v>
      </c>
      <c r="B106" t="s">
        <v>48</v>
      </c>
      <c r="C106" t="s">
        <v>49</v>
      </c>
      <c r="D106" t="s">
        <v>210</v>
      </c>
      <c r="E106" t="s">
        <v>535</v>
      </c>
      <c r="F106" t="s">
        <v>535</v>
      </c>
    </row>
    <row r="107" spans="1:6" ht="14.25" customHeight="1">
      <c r="A107" t="s">
        <v>536</v>
      </c>
      <c r="B107" t="s">
        <v>48</v>
      </c>
      <c r="C107" t="s">
        <v>49</v>
      </c>
      <c r="D107" t="s">
        <v>210</v>
      </c>
      <c r="E107" t="s">
        <v>537</v>
      </c>
      <c r="F107" t="s">
        <v>537</v>
      </c>
    </row>
    <row r="108" spans="1:6" ht="14.25" customHeight="1">
      <c r="A108" t="s">
        <v>538</v>
      </c>
      <c r="B108" t="s">
        <v>48</v>
      </c>
      <c r="C108" t="s">
        <v>49</v>
      </c>
      <c r="D108" t="s">
        <v>210</v>
      </c>
      <c r="E108" t="s">
        <v>537</v>
      </c>
      <c r="F108" t="s">
        <v>537</v>
      </c>
    </row>
    <row r="109" spans="1:6" ht="14.25" customHeight="1">
      <c r="A109" t="s">
        <v>539</v>
      </c>
      <c r="B109" t="s">
        <v>48</v>
      </c>
      <c r="C109" t="s">
        <v>49</v>
      </c>
      <c r="D109" t="s">
        <v>210</v>
      </c>
      <c r="E109" t="s">
        <v>440</v>
      </c>
      <c r="F109" t="s">
        <v>440</v>
      </c>
    </row>
    <row r="110" spans="1:6" ht="14.25" customHeight="1">
      <c r="A110" t="s">
        <v>540</v>
      </c>
      <c r="B110" t="s">
        <v>48</v>
      </c>
      <c r="C110" t="s">
        <v>49</v>
      </c>
      <c r="D110" t="s">
        <v>210</v>
      </c>
      <c r="E110" t="s">
        <v>440</v>
      </c>
      <c r="F110" t="s">
        <v>440</v>
      </c>
    </row>
    <row r="111" spans="1:6" ht="14.25" customHeight="1">
      <c r="A111" t="s">
        <v>541</v>
      </c>
      <c r="B111" t="s">
        <v>48</v>
      </c>
      <c r="C111" t="s">
        <v>49</v>
      </c>
      <c r="D111" t="s">
        <v>210</v>
      </c>
      <c r="E111" t="s">
        <v>542</v>
      </c>
      <c r="F111" t="s">
        <v>542</v>
      </c>
    </row>
    <row r="112" spans="1:6" ht="14.25" customHeight="1">
      <c r="A112" t="s">
        <v>543</v>
      </c>
      <c r="B112" t="s">
        <v>48</v>
      </c>
      <c r="C112" t="s">
        <v>49</v>
      </c>
      <c r="D112" t="s">
        <v>81</v>
      </c>
      <c r="E112" t="s">
        <v>56</v>
      </c>
      <c r="F112" t="s">
        <v>101</v>
      </c>
    </row>
    <row r="113" spans="1:6" ht="14.25" customHeight="1">
      <c r="A113" t="s">
        <v>544</v>
      </c>
      <c r="B113" t="s">
        <v>48</v>
      </c>
      <c r="C113" t="s">
        <v>111</v>
      </c>
      <c r="D113" t="s">
        <v>112</v>
      </c>
      <c r="E113" t="s">
        <v>116</v>
      </c>
      <c r="F113" t="s">
        <v>116</v>
      </c>
    </row>
    <row r="114" spans="1:6" ht="14.25" customHeight="1">
      <c r="A114" t="s">
        <v>545</v>
      </c>
      <c r="B114" t="s">
        <v>48</v>
      </c>
      <c r="C114" t="s">
        <v>111</v>
      </c>
      <c r="D114" t="s">
        <v>112</v>
      </c>
      <c r="E114" t="s">
        <v>114</v>
      </c>
      <c r="F114" t="s">
        <v>115</v>
      </c>
    </row>
    <row r="115" spans="1:6" ht="14.25" customHeight="1">
      <c r="A115" t="s">
        <v>546</v>
      </c>
      <c r="B115" t="s">
        <v>48</v>
      </c>
      <c r="C115" t="s">
        <v>111</v>
      </c>
      <c r="D115" t="s">
        <v>118</v>
      </c>
      <c r="E115" t="s">
        <v>119</v>
      </c>
      <c r="F115" t="s">
        <v>119</v>
      </c>
    </row>
    <row r="116" spans="1:6" ht="14.25" customHeight="1">
      <c r="A116" t="s">
        <v>547</v>
      </c>
      <c r="B116" t="s">
        <v>48</v>
      </c>
      <c r="C116" t="s">
        <v>106</v>
      </c>
      <c r="D116" t="s">
        <v>106</v>
      </c>
      <c r="E116" t="s">
        <v>107</v>
      </c>
      <c r="F116" t="s">
        <v>107</v>
      </c>
    </row>
    <row r="117" spans="1:6" ht="14.25" customHeight="1">
      <c r="A117" t="s">
        <v>548</v>
      </c>
      <c r="B117" t="s">
        <v>48</v>
      </c>
      <c r="C117" t="s">
        <v>106</v>
      </c>
      <c r="D117" t="s">
        <v>106</v>
      </c>
      <c r="E117" t="s">
        <v>108</v>
      </c>
      <c r="F117" t="s">
        <v>108</v>
      </c>
    </row>
    <row r="118" spans="1:6" ht="14.25" customHeight="1">
      <c r="A118" t="s">
        <v>549</v>
      </c>
      <c r="B118" t="s">
        <v>48</v>
      </c>
      <c r="C118" t="s">
        <v>111</v>
      </c>
      <c r="D118" t="s">
        <v>124</v>
      </c>
      <c r="E118" t="s">
        <v>125</v>
      </c>
      <c r="F118" t="s">
        <v>125</v>
      </c>
    </row>
    <row r="119" spans="1:6" ht="14.25" customHeight="1">
      <c r="A119" t="s">
        <v>550</v>
      </c>
      <c r="B119" t="s">
        <v>48</v>
      </c>
      <c r="C119" t="s">
        <v>111</v>
      </c>
      <c r="D119" t="s">
        <v>124</v>
      </c>
      <c r="E119" t="s">
        <v>126</v>
      </c>
      <c r="F119" t="s">
        <v>126</v>
      </c>
    </row>
    <row r="120" spans="1:6" ht="14.25" customHeight="1">
      <c r="A120" t="s">
        <v>551</v>
      </c>
      <c r="B120" t="s">
        <v>48</v>
      </c>
      <c r="C120" t="s">
        <v>49</v>
      </c>
      <c r="D120" t="s">
        <v>50</v>
      </c>
      <c r="E120" t="s">
        <v>52</v>
      </c>
      <c r="F120" t="s">
        <v>52</v>
      </c>
    </row>
    <row r="121" spans="1:6" ht="14.25" customHeight="1">
      <c r="A121" t="s">
        <v>552</v>
      </c>
      <c r="B121" t="s">
        <v>48</v>
      </c>
      <c r="C121" t="s">
        <v>49</v>
      </c>
      <c r="D121" t="s">
        <v>50</v>
      </c>
      <c r="E121" t="s">
        <v>51</v>
      </c>
      <c r="F121" t="s">
        <v>51</v>
      </c>
    </row>
    <row r="122" spans="1:6" ht="14.25" customHeight="1">
      <c r="A122" t="s">
        <v>553</v>
      </c>
      <c r="B122" t="s">
        <v>48</v>
      </c>
      <c r="C122" t="s">
        <v>49</v>
      </c>
      <c r="D122" t="s">
        <v>50</v>
      </c>
      <c r="E122" t="s">
        <v>51</v>
      </c>
      <c r="F122" t="s">
        <v>51</v>
      </c>
    </row>
    <row r="123" spans="1:6" ht="14.25" customHeight="1">
      <c r="A123" t="s">
        <v>554</v>
      </c>
      <c r="B123" t="s">
        <v>48</v>
      </c>
      <c r="C123" t="s">
        <v>49</v>
      </c>
      <c r="D123" t="s">
        <v>50</v>
      </c>
      <c r="E123" t="s">
        <v>51</v>
      </c>
      <c r="F123" t="s">
        <v>51</v>
      </c>
    </row>
    <row r="124" spans="1:6" ht="14.25" customHeight="1">
      <c r="A124" t="s">
        <v>555</v>
      </c>
      <c r="B124" t="s">
        <v>48</v>
      </c>
      <c r="C124" t="s">
        <v>111</v>
      </c>
      <c r="D124" t="s">
        <v>118</v>
      </c>
      <c r="E124" t="s">
        <v>121</v>
      </c>
      <c r="F124" t="s">
        <v>121</v>
      </c>
    </row>
    <row r="125" spans="1:6" ht="14.25" customHeight="1">
      <c r="A125" t="s">
        <v>556</v>
      </c>
      <c r="B125" t="s">
        <v>48</v>
      </c>
      <c r="C125" t="s">
        <v>111</v>
      </c>
      <c r="D125" t="s">
        <v>112</v>
      </c>
      <c r="E125" t="s">
        <v>113</v>
      </c>
      <c r="F125" t="s">
        <v>113</v>
      </c>
    </row>
    <row r="126" spans="1:6" ht="14.25" customHeight="1">
      <c r="A126" t="s">
        <v>557</v>
      </c>
      <c r="B126" t="s">
        <v>48</v>
      </c>
      <c r="C126" t="s">
        <v>111</v>
      </c>
      <c r="D126" t="s">
        <v>118</v>
      </c>
      <c r="E126" t="s">
        <v>120</v>
      </c>
      <c r="F126" t="s">
        <v>120</v>
      </c>
    </row>
    <row r="127" spans="1:6" ht="14.25" customHeight="1">
      <c r="A127" t="s">
        <v>558</v>
      </c>
      <c r="B127" t="s">
        <v>48</v>
      </c>
      <c r="C127" t="s">
        <v>111</v>
      </c>
      <c r="D127" t="s">
        <v>118</v>
      </c>
      <c r="E127" t="s">
        <v>122</v>
      </c>
      <c r="F127" t="s">
        <v>122</v>
      </c>
    </row>
  </sheetData>
  <autoFilter ref="A1:F127" xr:uid="{00000000-0009-0000-0000-00000A000000}"/>
  <pageMargins left="0.75" right="0.75" top="1" bottom="1" header="0.511811023622047" footer="0.511811023622047"/>
  <pageSetup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A8494"/>
  </sheetPr>
  <dimension ref="A1:J127"/>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8.7109375" defaultRowHeight="15"/>
  <cols>
    <col min="1" max="1" width="8.85546875" customWidth="1"/>
    <col min="2" max="2" width="30.85546875" customWidth="1"/>
    <col min="3" max="5" width="8.42578125" customWidth="1"/>
    <col min="6" max="6" width="10.7109375" customWidth="1"/>
    <col min="7" max="8" width="29" customWidth="1"/>
    <col min="9" max="10" width="54.140625" customWidth="1"/>
  </cols>
  <sheetData>
    <row r="1" spans="1:10" ht="14.25" customHeight="1">
      <c r="A1" s="25" t="s">
        <v>386</v>
      </c>
      <c r="B1" s="25" t="s">
        <v>559</v>
      </c>
      <c r="C1" s="25" t="s">
        <v>44</v>
      </c>
      <c r="D1" s="25" t="s">
        <v>45</v>
      </c>
      <c r="E1" s="25" t="s">
        <v>46</v>
      </c>
      <c r="F1" s="25" t="s">
        <v>387</v>
      </c>
      <c r="G1" s="25" t="s">
        <v>39</v>
      </c>
      <c r="H1" s="25" t="s">
        <v>388</v>
      </c>
      <c r="I1" s="25" t="s">
        <v>389</v>
      </c>
      <c r="J1" s="25" t="s">
        <v>390</v>
      </c>
    </row>
    <row r="2" spans="1:10" ht="14.25" customHeight="1">
      <c r="A2" t="s">
        <v>391</v>
      </c>
      <c r="B2" t="str">
        <f t="shared" ref="B2:B33" si="0">"Lib compte "&amp;A2</f>
        <v>Lib compte 1013</v>
      </c>
      <c r="C2" s="88">
        <v>-107000</v>
      </c>
      <c r="D2" s="88">
        <v>-107000</v>
      </c>
      <c r="E2" s="88">
        <v>-107000</v>
      </c>
      <c r="F2" t="str">
        <f>IFERROR(INDEX(Mapping!$B:$B,MATCH($A2,Mapping!$A:$A,0)),"")</f>
        <v>BS</v>
      </c>
      <c r="G2" t="str">
        <f>IFERROR(INDEX(Mapping!$C:$C,MATCH($A2,Mapping!$A:$A,0)),"")</f>
        <v>Capitaux propres</v>
      </c>
      <c r="H2" t="str">
        <f>IFERROR(INDEX(Mapping!$D:$D,MATCH($A2,Mapping!$A:$A,0)),"")</f>
        <v>Capital</v>
      </c>
      <c r="I2" t="str">
        <f>IFERROR(INDEX(Mapping!$E:$E,MATCH($A2,Mapping!$A:$A,0)),"")</f>
        <v>Capital social</v>
      </c>
      <c r="J2" t="str">
        <f>IFERROR(INDEX(Mapping!$F:$F,MATCH($A2,Mapping!$A:$A,0)),"")</f>
        <v>Capital versé</v>
      </c>
    </row>
    <row r="3" spans="1:10" ht="14.25" customHeight="1">
      <c r="A3" t="s">
        <v>393</v>
      </c>
      <c r="B3" t="str">
        <f t="shared" si="0"/>
        <v>Lib compte 10611</v>
      </c>
      <c r="C3" s="88">
        <v>-54.57</v>
      </c>
      <c r="D3" s="88">
        <v>-1473.39</v>
      </c>
      <c r="E3" s="88">
        <v>-3223.91</v>
      </c>
      <c r="F3" t="str">
        <f>IFERROR(INDEX(Mapping!$B:$B,MATCH($A3,Mapping!$A:$A,0)),"")</f>
        <v>BS</v>
      </c>
      <c r="G3" t="str">
        <f>IFERROR(INDEX(Mapping!$C:$C,MATCH($A3,Mapping!$A:$A,0)),"")</f>
        <v>Capitaux propres</v>
      </c>
      <c r="H3" t="str">
        <f>IFERROR(INDEX(Mapping!$D:$D,MATCH($A3,Mapping!$A:$A,0)),"")</f>
        <v>Capital</v>
      </c>
      <c r="I3" t="str">
        <f>IFERROR(INDEX(Mapping!$E:$E,MATCH($A3,Mapping!$A:$A,0)),"")</f>
        <v>Capital social</v>
      </c>
      <c r="J3" t="str">
        <f>IFERROR(INDEX(Mapping!$F:$F,MATCH($A3,Mapping!$A:$A,0)),"")</f>
        <v>Réserve légale</v>
      </c>
    </row>
    <row r="4" spans="1:10" ht="14.25" customHeight="1">
      <c r="A4" t="s">
        <v>395</v>
      </c>
      <c r="B4" t="str">
        <f t="shared" si="0"/>
        <v>Lib compte 1068</v>
      </c>
      <c r="C4" s="88">
        <v>-1031.1161999999999</v>
      </c>
      <c r="D4" s="88">
        <v>-2952.0337</v>
      </c>
      <c r="E4" s="88">
        <v>-4118.43</v>
      </c>
      <c r="F4" t="str">
        <f>IFERROR(INDEX(Mapping!$B:$B,MATCH($A4,Mapping!$A:$A,0)),"")</f>
        <v>BS</v>
      </c>
      <c r="G4" t="str">
        <f>IFERROR(INDEX(Mapping!$C:$C,MATCH($A4,Mapping!$A:$A,0)),"")</f>
        <v>Capitaux propres</v>
      </c>
      <c r="H4" t="str">
        <f>IFERROR(INDEX(Mapping!$D:$D,MATCH($A4,Mapping!$A:$A,0)),"")</f>
        <v>Capital</v>
      </c>
      <c r="I4" t="str">
        <f>IFERROR(INDEX(Mapping!$E:$E,MATCH($A4,Mapping!$A:$A,0)),"")</f>
        <v>Capital social</v>
      </c>
      <c r="J4" t="str">
        <f>IFERROR(INDEX(Mapping!$F:$F,MATCH($A4,Mapping!$A:$A,0)),"")</f>
        <v>Autres réserves</v>
      </c>
    </row>
    <row r="5" spans="1:10" ht="14.25" customHeight="1">
      <c r="A5" t="s">
        <v>397</v>
      </c>
      <c r="B5" t="str">
        <f t="shared" si="0"/>
        <v>Lib compte 119</v>
      </c>
      <c r="C5" s="88">
        <v>3637.893</v>
      </c>
      <c r="D5" s="88">
        <v>0</v>
      </c>
      <c r="E5" s="88">
        <v>0</v>
      </c>
      <c r="F5" t="str">
        <f>IFERROR(INDEX(Mapping!$B:$B,MATCH($A5,Mapping!$A:$A,0)),"")</f>
        <v>BS</v>
      </c>
      <c r="G5" t="str">
        <f>IFERROR(INDEX(Mapping!$C:$C,MATCH($A5,Mapping!$A:$A,0)),"")</f>
        <v>Capitaux propres</v>
      </c>
      <c r="H5" t="str">
        <f>IFERROR(INDEX(Mapping!$D:$D,MATCH($A5,Mapping!$A:$A,0)),"")</f>
        <v>Report à nouveau</v>
      </c>
      <c r="I5" t="str">
        <f>IFERROR(INDEX(Mapping!$E:$E,MATCH($A5,Mapping!$A:$A,0)),"")</f>
        <v>Report à nouveau</v>
      </c>
      <c r="J5" t="str">
        <f>IFERROR(INDEX(Mapping!$F:$F,MATCH($A5,Mapping!$A:$A,0)),"")</f>
        <v>Déficit cumulé (Débit)</v>
      </c>
    </row>
    <row r="6" spans="1:10" ht="14.25" customHeight="1">
      <c r="A6" t="s">
        <v>399</v>
      </c>
      <c r="B6" t="str">
        <f t="shared" si="0"/>
        <v>Lib compte 120</v>
      </c>
      <c r="C6" s="88">
        <v>0</v>
      </c>
      <c r="D6" s="88">
        <v>0</v>
      </c>
      <c r="E6" s="88">
        <v>0</v>
      </c>
      <c r="F6" t="str">
        <f>IFERROR(INDEX(Mapping!$B:$B,MATCH($A6,Mapping!$A:$A,0)),"")</f>
        <v>BS</v>
      </c>
      <c r="G6" t="str">
        <f>IFERROR(INDEX(Mapping!$C:$C,MATCH($A6,Mapping!$A:$A,0)),"")</f>
        <v>Capitaux propres</v>
      </c>
      <c r="H6" t="str">
        <f>IFERROR(INDEX(Mapping!$D:$D,MATCH($A6,Mapping!$A:$A,0)),"")</f>
        <v>Résultat de l'exercice</v>
      </c>
      <c r="I6" t="str">
        <f>IFERROR(INDEX(Mapping!$E:$E,MATCH($A6,Mapping!$A:$A,0)),"")</f>
        <v>Résultat net</v>
      </c>
      <c r="J6" t="str">
        <f>IFERROR(INDEX(Mapping!$F:$F,MATCH($A6,Mapping!$A:$A,0)),"")</f>
        <v>Bénéfice net</v>
      </c>
    </row>
    <row r="7" spans="1:10" ht="14.25" customHeight="1">
      <c r="A7" t="s">
        <v>402</v>
      </c>
      <c r="B7" t="str">
        <f t="shared" si="0"/>
        <v>Lib compte 129</v>
      </c>
      <c r="C7" s="88">
        <v>0</v>
      </c>
      <c r="D7" s="88">
        <v>0</v>
      </c>
      <c r="E7" s="88">
        <v>0</v>
      </c>
      <c r="F7" t="str">
        <f>IFERROR(INDEX(Mapping!$B:$B,MATCH($A7,Mapping!$A:$A,0)),"")</f>
        <v>BS</v>
      </c>
      <c r="G7" t="str">
        <f>IFERROR(INDEX(Mapping!$C:$C,MATCH($A7,Mapping!$A:$A,0)),"")</f>
        <v>Capitaux propres</v>
      </c>
      <c r="H7" t="str">
        <f>IFERROR(INDEX(Mapping!$D:$D,MATCH($A7,Mapping!$A:$A,0)),"")</f>
        <v>Résultat de l'exercice</v>
      </c>
      <c r="I7" t="str">
        <f>IFERROR(INDEX(Mapping!$E:$E,MATCH($A7,Mapping!$A:$A,0)),"")</f>
        <v>Résultat net</v>
      </c>
      <c r="J7" t="str">
        <f>IFERROR(INDEX(Mapping!$F:$F,MATCH($A7,Mapping!$A:$A,0)),"")</f>
        <v>Perte nette</v>
      </c>
    </row>
    <row r="8" spans="1:10" ht="14.25" customHeight="1">
      <c r="A8" t="s">
        <v>404</v>
      </c>
      <c r="B8" t="str">
        <f t="shared" si="0"/>
        <v>Lib compte 1644</v>
      </c>
      <c r="C8" s="88">
        <v>-30247.006099999999</v>
      </c>
      <c r="D8" s="88">
        <v>-17810.717100000002</v>
      </c>
      <c r="E8" s="88">
        <v>-5262.0245999999997</v>
      </c>
      <c r="F8" t="str">
        <f>IFERROR(INDEX(Mapping!$B:$B,MATCH($A8,Mapping!$A:$A,0)),"")</f>
        <v>BS</v>
      </c>
      <c r="G8" t="str">
        <f>IFERROR(INDEX(Mapping!$C:$C,MATCH($A8,Mapping!$A:$A,0)),"")</f>
        <v>Dettes long terme</v>
      </c>
      <c r="H8" t="str">
        <f>IFERROR(INDEX(Mapping!$D:$D,MATCH($A8,Mapping!$A:$A,0)),"")</f>
        <v>Emprunts</v>
      </c>
      <c r="I8" t="str">
        <f>IFERROR(INDEX(Mapping!$E:$E,MATCH($A8,Mapping!$A:$A,0)),"")</f>
        <v>Tous emprunts</v>
      </c>
      <c r="J8" t="str">
        <f>IFERROR(INDEX(Mapping!$F:$F,MATCH($A8,Mapping!$A:$A,0)),"")</f>
        <v>Emprunts bancaires</v>
      </c>
    </row>
    <row r="9" spans="1:10" ht="14.25" customHeight="1">
      <c r="A9" t="s">
        <v>406</v>
      </c>
      <c r="B9" t="str">
        <f t="shared" si="0"/>
        <v>Lib compte 201</v>
      </c>
      <c r="C9" s="88">
        <v>1926</v>
      </c>
      <c r="D9" s="88">
        <v>1926</v>
      </c>
      <c r="E9" s="88">
        <v>1926</v>
      </c>
      <c r="F9" t="str">
        <f>IFERROR(INDEX(Mapping!$B:$B,MATCH($A9,Mapping!$A:$A,0)),"")</f>
        <v>BS</v>
      </c>
      <c r="G9" t="str">
        <f>IFERROR(INDEX(Mapping!$C:$C,MATCH($A9,Mapping!$A:$A,0)),"")</f>
        <v>Immobilisations</v>
      </c>
      <c r="H9" t="str">
        <f>IFERROR(INDEX(Mapping!$D:$D,MATCH($A9,Mapping!$A:$A,0)),"")</f>
        <v>Immobilisations incorporelles</v>
      </c>
      <c r="I9" t="str">
        <f>IFERROR(INDEX(Mapping!$E:$E,MATCH($A9,Mapping!$A:$A,0)),"")</f>
        <v>Toutes immobilisations incorporelles</v>
      </c>
      <c r="J9" t="str">
        <f>IFERROR(INDEX(Mapping!$F:$F,MATCH($A9,Mapping!$A:$A,0)),"")</f>
        <v>Frais d'établissement</v>
      </c>
    </row>
    <row r="10" spans="1:10" ht="14.25" customHeight="1">
      <c r="A10" t="s">
        <v>408</v>
      </c>
      <c r="B10" t="str">
        <f t="shared" si="0"/>
        <v>Lib compte 205</v>
      </c>
      <c r="C10" s="88">
        <v>802.5</v>
      </c>
      <c r="D10" s="88">
        <v>802.5</v>
      </c>
      <c r="E10" s="88">
        <v>802.5</v>
      </c>
      <c r="F10" t="str">
        <f>IFERROR(INDEX(Mapping!$B:$B,MATCH($A10,Mapping!$A:$A,0)),"")</f>
        <v>BS</v>
      </c>
      <c r="G10" t="str">
        <f>IFERROR(INDEX(Mapping!$C:$C,MATCH($A10,Mapping!$A:$A,0)),"")</f>
        <v>Immobilisations</v>
      </c>
      <c r="H10" t="str">
        <f>IFERROR(INDEX(Mapping!$D:$D,MATCH($A10,Mapping!$A:$A,0)),"")</f>
        <v>Immobilisations incorporelles</v>
      </c>
      <c r="I10" t="str">
        <f>IFERROR(INDEX(Mapping!$E:$E,MATCH($A10,Mapping!$A:$A,0)),"")</f>
        <v>Toutes immobilisations incorporelles</v>
      </c>
      <c r="J10" t="str">
        <f>IFERROR(INDEX(Mapping!$F:$F,MATCH($A10,Mapping!$A:$A,0)),"")</f>
        <v>Immobilisations incorporelles</v>
      </c>
    </row>
    <row r="11" spans="1:10" ht="14.25" customHeight="1">
      <c r="A11" t="s">
        <v>409</v>
      </c>
      <c r="B11" t="str">
        <f t="shared" si="0"/>
        <v>Lib compte 2051</v>
      </c>
      <c r="C11" s="88">
        <v>307555.98499999999</v>
      </c>
      <c r="D11" s="88">
        <v>377694.48499999999</v>
      </c>
      <c r="E11" s="88">
        <v>401662.48499999999</v>
      </c>
      <c r="F11" t="str">
        <f>IFERROR(INDEX(Mapping!$B:$B,MATCH($A11,Mapping!$A:$A,0)),"")</f>
        <v>BS</v>
      </c>
      <c r="G11" t="str">
        <f>IFERROR(INDEX(Mapping!$C:$C,MATCH($A11,Mapping!$A:$A,0)),"")</f>
        <v>Immobilisations</v>
      </c>
      <c r="H11" t="str">
        <f>IFERROR(INDEX(Mapping!$D:$D,MATCH($A11,Mapping!$A:$A,0)),"")</f>
        <v>Immobilisations incorporelles</v>
      </c>
      <c r="I11" t="str">
        <f>IFERROR(INDEX(Mapping!$E:$E,MATCH($A11,Mapping!$A:$A,0)),"")</f>
        <v>Toutes immobilisations incorporelles</v>
      </c>
      <c r="J11" t="str">
        <f>IFERROR(INDEX(Mapping!$F:$F,MATCH($A11,Mapping!$A:$A,0)),"")</f>
        <v>Immobilisations incorporelles</v>
      </c>
    </row>
    <row r="12" spans="1:10" ht="14.25" customHeight="1">
      <c r="A12" t="s">
        <v>410</v>
      </c>
      <c r="B12" t="str">
        <f t="shared" si="0"/>
        <v>Lib compte 2183</v>
      </c>
      <c r="C12" s="88">
        <v>2992.0623999999998</v>
      </c>
      <c r="D12" s="88">
        <v>3955.3085000000001</v>
      </c>
      <c r="E12" s="88">
        <v>6404.6454999999996</v>
      </c>
      <c r="F12" t="str">
        <f>IFERROR(INDEX(Mapping!$B:$B,MATCH($A12,Mapping!$A:$A,0)),"")</f>
        <v>BS</v>
      </c>
      <c r="G12" t="str">
        <f>IFERROR(INDEX(Mapping!$C:$C,MATCH($A12,Mapping!$A:$A,0)),"")</f>
        <v>Immobilisations</v>
      </c>
      <c r="H12" t="str">
        <f>IFERROR(INDEX(Mapping!$D:$D,MATCH($A12,Mapping!$A:$A,0)),"")</f>
        <v>Immobilisations corporelles</v>
      </c>
      <c r="I12" t="str">
        <f>IFERROR(INDEX(Mapping!$E:$E,MATCH($A12,Mapping!$A:$A,0)),"")</f>
        <v>Toutes immobilisations corporelles</v>
      </c>
      <c r="J12" t="str">
        <f>IFERROR(INDEX(Mapping!$F:$F,MATCH($A12,Mapping!$A:$A,0)),"")</f>
        <v>Matériel de bureau &amp; Informatique</v>
      </c>
    </row>
    <row r="13" spans="1:10" ht="14.25" customHeight="1">
      <c r="A13" t="s">
        <v>412</v>
      </c>
      <c r="B13" t="str">
        <f t="shared" si="0"/>
        <v>Lib compte 2184</v>
      </c>
      <c r="C13" s="88">
        <v>0</v>
      </c>
      <c r="D13" s="88">
        <v>764.12980000000005</v>
      </c>
      <c r="E13" s="88">
        <v>764.12980000000005</v>
      </c>
      <c r="F13" t="str">
        <f>IFERROR(INDEX(Mapping!$B:$B,MATCH($A13,Mapping!$A:$A,0)),"")</f>
        <v>BS</v>
      </c>
      <c r="G13" t="str">
        <f>IFERROR(INDEX(Mapping!$C:$C,MATCH($A13,Mapping!$A:$A,0)),"")</f>
        <v>Immobilisations</v>
      </c>
      <c r="H13" t="str">
        <f>IFERROR(INDEX(Mapping!$D:$D,MATCH($A13,Mapping!$A:$A,0)),"")</f>
        <v>Immobilisations corporelles</v>
      </c>
      <c r="I13" t="str">
        <f>IFERROR(INDEX(Mapping!$E:$E,MATCH($A13,Mapping!$A:$A,0)),"")</f>
        <v>Toutes immobilisations corporelles</v>
      </c>
      <c r="J13" t="str">
        <f>IFERROR(INDEX(Mapping!$F:$F,MATCH($A13,Mapping!$A:$A,0)),"")</f>
        <v>Mobilier et agencements</v>
      </c>
    </row>
    <row r="14" spans="1:10" ht="14.25" customHeight="1">
      <c r="A14" t="s">
        <v>414</v>
      </c>
      <c r="B14" t="str">
        <f t="shared" si="0"/>
        <v>Lib compte 261</v>
      </c>
      <c r="C14" s="88">
        <v>42.8</v>
      </c>
      <c r="D14" s="88">
        <v>42.8</v>
      </c>
      <c r="E14" s="88">
        <v>42.8</v>
      </c>
      <c r="F14" t="str">
        <f>IFERROR(INDEX(Mapping!$B:$B,MATCH($A14,Mapping!$A:$A,0)),"")</f>
        <v>BS</v>
      </c>
      <c r="G14" t="str">
        <f>IFERROR(INDEX(Mapping!$C:$C,MATCH($A14,Mapping!$A:$A,0)),"")</f>
        <v>Immobilisations</v>
      </c>
      <c r="H14" t="str">
        <f>IFERROR(INDEX(Mapping!$D:$D,MATCH($A14,Mapping!$A:$A,0)),"")</f>
        <v>Immobilisations financières</v>
      </c>
      <c r="I14" t="str">
        <f>IFERROR(INDEX(Mapping!$E:$E,MATCH($A14,Mapping!$A:$A,0)),"")</f>
        <v>Titres de participation</v>
      </c>
      <c r="J14" t="str">
        <f>IFERROR(INDEX(Mapping!$F:$F,MATCH($A14,Mapping!$A:$A,0)),"")</f>
        <v>Titres de participation</v>
      </c>
    </row>
    <row r="15" spans="1:10" ht="14.25" customHeight="1">
      <c r="A15" t="s">
        <v>415</v>
      </c>
      <c r="B15" t="str">
        <f t="shared" si="0"/>
        <v>Lib compte 275</v>
      </c>
      <c r="C15" s="88">
        <v>561.75</v>
      </c>
      <c r="D15" s="88">
        <v>561.75</v>
      </c>
      <c r="E15" s="88">
        <v>3142.59</v>
      </c>
      <c r="F15" t="str">
        <f>IFERROR(INDEX(Mapping!$B:$B,MATCH($A15,Mapping!$A:$A,0)),"")</f>
        <v>BS</v>
      </c>
      <c r="G15" t="str">
        <f>IFERROR(INDEX(Mapping!$C:$C,MATCH($A15,Mapping!$A:$A,0)),"")</f>
        <v>Immobilisations</v>
      </c>
      <c r="H15" t="str">
        <f>IFERROR(INDEX(Mapping!$D:$D,MATCH($A15,Mapping!$A:$A,0)),"")</f>
        <v>Immobilisations financières</v>
      </c>
      <c r="I15" t="str">
        <f>IFERROR(INDEX(Mapping!$E:$E,MATCH($A15,Mapping!$A:$A,0)),"")</f>
        <v>Autres éléments financiers</v>
      </c>
      <c r="J15" t="str">
        <f>IFERROR(INDEX(Mapping!$F:$F,MATCH($A15,Mapping!$A:$A,0)),"")</f>
        <v>Dépôts et cautionnements versés</v>
      </c>
    </row>
    <row r="16" spans="1:10" ht="14.25" customHeight="1">
      <c r="A16" t="s">
        <v>417</v>
      </c>
      <c r="B16" t="str">
        <f t="shared" si="0"/>
        <v>Lib compte 2801</v>
      </c>
      <c r="C16" s="88">
        <v>-1926</v>
      </c>
      <c r="D16" s="88">
        <v>-1926</v>
      </c>
      <c r="E16" s="88">
        <v>-1926</v>
      </c>
      <c r="F16" t="str">
        <f>IFERROR(INDEX(Mapping!$B:$B,MATCH($A16,Mapping!$A:$A,0)),"")</f>
        <v>BS</v>
      </c>
      <c r="G16" t="str">
        <f>IFERROR(INDEX(Mapping!$C:$C,MATCH($A16,Mapping!$A:$A,0)),"")</f>
        <v>Immobilisations</v>
      </c>
      <c r="H16" t="str">
        <f>IFERROR(INDEX(Mapping!$D:$D,MATCH($A16,Mapping!$A:$A,0)),"")</f>
        <v>Immobilisations incorporelles</v>
      </c>
      <c r="I16" t="str">
        <f>IFERROR(INDEX(Mapping!$E:$E,MATCH($A16,Mapping!$A:$A,0)),"")</f>
        <v>Amortissements et dépréciations cumulés</v>
      </c>
      <c r="J16" t="str">
        <f>IFERROR(INDEX(Mapping!$F:$F,MATCH($A16,Mapping!$A:$A,0)),"")</f>
        <v>Amortissement des frais d'établissement</v>
      </c>
    </row>
    <row r="17" spans="1:10" ht="14.25" customHeight="1">
      <c r="A17" t="s">
        <v>419</v>
      </c>
      <c r="B17" t="str">
        <f t="shared" si="0"/>
        <v>Lib compte 28051</v>
      </c>
      <c r="C17" s="88">
        <v>-206680.5901</v>
      </c>
      <c r="D17" s="88">
        <v>-245473.95370000001</v>
      </c>
      <c r="E17" s="88">
        <v>-288447.73239999998</v>
      </c>
      <c r="F17" t="str">
        <f>IFERROR(INDEX(Mapping!$B:$B,MATCH($A17,Mapping!$A:$A,0)),"")</f>
        <v>BS</v>
      </c>
      <c r="G17" t="str">
        <f>IFERROR(INDEX(Mapping!$C:$C,MATCH($A17,Mapping!$A:$A,0)),"")</f>
        <v>Immobilisations</v>
      </c>
      <c r="H17" t="str">
        <f>IFERROR(INDEX(Mapping!$D:$D,MATCH($A17,Mapping!$A:$A,0)),"")</f>
        <v>Immobilisations incorporelles</v>
      </c>
      <c r="I17" t="str">
        <f>IFERROR(INDEX(Mapping!$E:$E,MATCH($A17,Mapping!$A:$A,0)),"")</f>
        <v>Toutes immobilisations incorporelles</v>
      </c>
      <c r="J17" t="str">
        <f>IFERROR(INDEX(Mapping!$F:$F,MATCH($A17,Mapping!$A:$A,0)),"")</f>
        <v>Immobilisations incorporelles</v>
      </c>
    </row>
    <row r="18" spans="1:10" ht="14.25" customHeight="1">
      <c r="A18" t="s">
        <v>420</v>
      </c>
      <c r="B18" t="str">
        <f t="shared" si="0"/>
        <v>Lib compte 28183</v>
      </c>
      <c r="C18" s="88">
        <v>-879.47580000000005</v>
      </c>
      <c r="D18" s="88">
        <v>-1359.3707999999999</v>
      </c>
      <c r="E18" s="88">
        <v>-2858.4407999999999</v>
      </c>
      <c r="F18" t="str">
        <f>IFERROR(INDEX(Mapping!$B:$B,MATCH($A18,Mapping!$A:$A,0)),"")</f>
        <v>BS</v>
      </c>
      <c r="G18" t="str">
        <f>IFERROR(INDEX(Mapping!$C:$C,MATCH($A18,Mapping!$A:$A,0)),"")</f>
        <v>Immobilisations</v>
      </c>
      <c r="H18" t="str">
        <f>IFERROR(INDEX(Mapping!$D:$D,MATCH($A18,Mapping!$A:$A,0)),"")</f>
        <v>Immobilisations corporelles</v>
      </c>
      <c r="I18" t="str">
        <f>IFERROR(INDEX(Mapping!$E:$E,MATCH($A18,Mapping!$A:$A,0)),"")</f>
        <v>Amortissements et dépréciations cumulés</v>
      </c>
      <c r="J18" t="str">
        <f>IFERROR(INDEX(Mapping!$F:$F,MATCH($A18,Mapping!$A:$A,0)),"")</f>
        <v>Amortissement des autres immobilisations corporelles</v>
      </c>
    </row>
    <row r="19" spans="1:10" ht="14.25" customHeight="1">
      <c r="A19" t="s">
        <v>422</v>
      </c>
      <c r="B19" t="str">
        <f t="shared" si="0"/>
        <v>Lib compte 28184</v>
      </c>
      <c r="C19" s="88">
        <v>0</v>
      </c>
      <c r="D19" s="88">
        <v>-32.752699999999997</v>
      </c>
      <c r="E19" s="88">
        <v>-142.96270000000001</v>
      </c>
      <c r="F19" t="str">
        <f>IFERROR(INDEX(Mapping!$B:$B,MATCH($A19,Mapping!$A:$A,0)),"")</f>
        <v>BS</v>
      </c>
      <c r="G19" t="str">
        <f>IFERROR(INDEX(Mapping!$C:$C,MATCH($A19,Mapping!$A:$A,0)),"")</f>
        <v>Immobilisations</v>
      </c>
      <c r="H19" t="str">
        <f>IFERROR(INDEX(Mapping!$D:$D,MATCH($A19,Mapping!$A:$A,0)),"")</f>
        <v>Immobilisations corporelles</v>
      </c>
      <c r="I19" t="str">
        <f>IFERROR(INDEX(Mapping!$E:$E,MATCH($A19,Mapping!$A:$A,0)),"")</f>
        <v>Amortissements et dépréciations cumulés</v>
      </c>
      <c r="J19" t="str">
        <f>IFERROR(INDEX(Mapping!$F:$F,MATCH($A19,Mapping!$A:$A,0)),"")</f>
        <v>Amortissement des autres immobilisations corporelles</v>
      </c>
    </row>
    <row r="20" spans="1:10" ht="14.25" customHeight="1">
      <c r="A20" t="s">
        <v>423</v>
      </c>
      <c r="B20" t="str">
        <f t="shared" si="0"/>
        <v>Lib compte 310</v>
      </c>
      <c r="C20" s="88">
        <v>5481.0108</v>
      </c>
      <c r="D20" s="88">
        <v>1047.2303999999999</v>
      </c>
      <c r="E20" s="88">
        <v>5389.2262000000001</v>
      </c>
      <c r="F20" t="str">
        <f>IFERROR(INDEX(Mapping!$B:$B,MATCH($A20,Mapping!$A:$A,0)),"")</f>
        <v>BS</v>
      </c>
      <c r="G20" t="str">
        <f>IFERROR(INDEX(Mapping!$C:$C,MATCH($A20,Mapping!$A:$A,0)),"")</f>
        <v>Actifs courants</v>
      </c>
      <c r="H20" t="str">
        <f>IFERROR(INDEX(Mapping!$D:$D,MATCH($A20,Mapping!$A:$A,0)),"")</f>
        <v>Stocks</v>
      </c>
      <c r="I20" t="str">
        <f>IFERROR(INDEX(Mapping!$E:$E,MATCH($A20,Mapping!$A:$A,0)),"")</f>
        <v>Matières premières</v>
      </c>
      <c r="J20" t="str">
        <f>IFERROR(INDEX(Mapping!$F:$F,MATCH($A20,Mapping!$A:$A,0)),"")</f>
        <v>Matières premières et approvisionnements</v>
      </c>
    </row>
    <row r="21" spans="1:10" ht="14.25" customHeight="1">
      <c r="A21" t="s">
        <v>425</v>
      </c>
      <c r="B21" t="str">
        <f t="shared" si="0"/>
        <v>Lib compte 401</v>
      </c>
      <c r="C21" s="88">
        <v>-46930.424700000003</v>
      </c>
      <c r="D21" s="88">
        <v>-110381.2963</v>
      </c>
      <c r="E21" s="88">
        <v>-34793.692900000002</v>
      </c>
      <c r="F21" t="str">
        <f>IFERROR(INDEX(Mapping!$B:$B,MATCH($A21,Mapping!$A:$A,0)),"")</f>
        <v>BS</v>
      </c>
      <c r="G21" t="str">
        <f>IFERROR(INDEX(Mapping!$C:$C,MATCH($A21,Mapping!$A:$A,0)),"")</f>
        <v>Passifs courants</v>
      </c>
      <c r="H21" t="str">
        <f>IFERROR(INDEX(Mapping!$D:$D,MATCH($A21,Mapping!$A:$A,0)),"")</f>
        <v>Dettes fournisseurs</v>
      </c>
      <c r="I21" t="str">
        <f>IFERROR(INDEX(Mapping!$E:$E,MATCH($A21,Mapping!$A:$A,0)),"")</f>
        <v>Fournisseurs</v>
      </c>
      <c r="J21" t="str">
        <f>IFERROR(INDEX(Mapping!$F:$F,MATCH($A21,Mapping!$A:$A,0)),"")</f>
        <v>Fournisseurs</v>
      </c>
    </row>
    <row r="22" spans="1:10" ht="14.25" customHeight="1">
      <c r="A22" t="s">
        <v>426</v>
      </c>
      <c r="B22" t="str">
        <f t="shared" si="0"/>
        <v>Lib compte 4081</v>
      </c>
      <c r="C22" s="88">
        <v>-3739.0079999999998</v>
      </c>
      <c r="D22" s="88">
        <v>0</v>
      </c>
      <c r="E22" s="88">
        <v>-43228.428</v>
      </c>
      <c r="F22" t="str">
        <f>IFERROR(INDEX(Mapping!$B:$B,MATCH($A22,Mapping!$A:$A,0)),"")</f>
        <v>BS</v>
      </c>
      <c r="G22" t="str">
        <f>IFERROR(INDEX(Mapping!$C:$C,MATCH($A22,Mapping!$A:$A,0)),"")</f>
        <v>Passifs courants</v>
      </c>
      <c r="H22" t="str">
        <f>IFERROR(INDEX(Mapping!$D:$D,MATCH($A22,Mapping!$A:$A,0)),"")</f>
        <v>Dettes fournisseurs</v>
      </c>
      <c r="I22" t="str">
        <f>IFERROR(INDEX(Mapping!$E:$E,MATCH($A22,Mapping!$A:$A,0)),"")</f>
        <v>Fournisseurs</v>
      </c>
      <c r="J22" t="str">
        <f>IFERROR(INDEX(Mapping!$F:$F,MATCH($A22,Mapping!$A:$A,0)),"")</f>
        <v>Fournisseurs - Charges à payer</v>
      </c>
    </row>
    <row r="23" spans="1:10" ht="14.25" customHeight="1">
      <c r="A23" t="s">
        <v>428</v>
      </c>
      <c r="B23" t="str">
        <f t="shared" si="0"/>
        <v>Lib compte 4091</v>
      </c>
      <c r="C23" s="88">
        <v>372.10320000000002</v>
      </c>
      <c r="D23" s="88">
        <v>0</v>
      </c>
      <c r="E23" s="88">
        <v>0</v>
      </c>
      <c r="F23" t="str">
        <f>IFERROR(INDEX(Mapping!$B:$B,MATCH($A23,Mapping!$A:$A,0)),"")</f>
        <v>BS</v>
      </c>
      <c r="G23" t="str">
        <f>IFERROR(INDEX(Mapping!$C:$C,MATCH($A23,Mapping!$A:$A,0)),"")</f>
        <v>Passifs courants</v>
      </c>
      <c r="H23" t="str">
        <f>IFERROR(INDEX(Mapping!$D:$D,MATCH($A23,Mapping!$A:$A,0)),"")</f>
        <v>Dettes fournisseurs</v>
      </c>
      <c r="I23" t="str">
        <f>IFERROR(INDEX(Mapping!$E:$E,MATCH($A23,Mapping!$A:$A,0)),"")</f>
        <v>Fournisseurs</v>
      </c>
      <c r="J23" t="str">
        <f>IFERROR(INDEX(Mapping!$F:$F,MATCH($A23,Mapping!$A:$A,0)),"")</f>
        <v>Avances aux fournisseurs</v>
      </c>
    </row>
    <row r="24" spans="1:10" ht="14.25" customHeight="1">
      <c r="A24" t="s">
        <v>430</v>
      </c>
      <c r="B24" t="str">
        <f t="shared" si="0"/>
        <v>Lib compte 4098</v>
      </c>
      <c r="C24" s="88">
        <v>4900.6000000000004</v>
      </c>
      <c r="D24" s="88">
        <v>4900.6000000000004</v>
      </c>
      <c r="E24" s="88">
        <v>4900.6000000000004</v>
      </c>
      <c r="F24" t="str">
        <f>IFERROR(INDEX(Mapping!$B:$B,MATCH($A24,Mapping!$A:$A,0)),"")</f>
        <v>BS</v>
      </c>
      <c r="G24" t="str">
        <f>IFERROR(INDEX(Mapping!$C:$C,MATCH($A24,Mapping!$A:$A,0)),"")</f>
        <v>Passifs courants</v>
      </c>
      <c r="H24" t="str">
        <f>IFERROR(INDEX(Mapping!$D:$D,MATCH($A24,Mapping!$A:$A,0)),"")</f>
        <v>Dettes fournisseurs</v>
      </c>
      <c r="I24" t="str">
        <f>IFERROR(INDEX(Mapping!$E:$E,MATCH($A24,Mapping!$A:$A,0)),"")</f>
        <v>Fournisseurs</v>
      </c>
      <c r="J24" t="str">
        <f>IFERROR(INDEX(Mapping!$F:$F,MATCH($A24,Mapping!$A:$A,0)),"")</f>
        <v>Fournisseurs - Soldes débiteurs</v>
      </c>
    </row>
    <row r="25" spans="1:10" ht="14.25" customHeight="1">
      <c r="A25" t="s">
        <v>432</v>
      </c>
      <c r="B25" t="str">
        <f t="shared" si="0"/>
        <v>Lib compte 411</v>
      </c>
      <c r="C25" s="88">
        <v>29341.176200000002</v>
      </c>
      <c r="D25" s="88">
        <v>46580.951999999997</v>
      </c>
      <c r="E25" s="88">
        <v>47841.540399999998</v>
      </c>
      <c r="F25" t="str">
        <f>IFERROR(INDEX(Mapping!$B:$B,MATCH($A25,Mapping!$A:$A,0)),"")</f>
        <v>BS</v>
      </c>
      <c r="G25" t="str">
        <f>IFERROR(INDEX(Mapping!$C:$C,MATCH($A25,Mapping!$A:$A,0)),"")</f>
        <v>Actifs courants</v>
      </c>
      <c r="H25" t="str">
        <f>IFERROR(INDEX(Mapping!$D:$D,MATCH($A25,Mapping!$A:$A,0)),"")</f>
        <v>Créances clients</v>
      </c>
      <c r="I25" t="str">
        <f>IFERROR(INDEX(Mapping!$E:$E,MATCH($A25,Mapping!$A:$A,0)),"")</f>
        <v>Clients</v>
      </c>
      <c r="J25" t="str">
        <f>IFERROR(INDEX(Mapping!$F:$F,MATCH($A25,Mapping!$A:$A,0)),"")</f>
        <v>Clients</v>
      </c>
    </row>
    <row r="26" spans="1:10" ht="14.25" customHeight="1">
      <c r="A26" t="s">
        <v>433</v>
      </c>
      <c r="B26" t="str">
        <f t="shared" si="0"/>
        <v>Lib compte 421</v>
      </c>
      <c r="C26" s="88">
        <v>0</v>
      </c>
      <c r="D26" s="88">
        <v>0</v>
      </c>
      <c r="E26" s="88">
        <v>0</v>
      </c>
      <c r="F26" t="str">
        <f>IFERROR(INDEX(Mapping!$B:$B,MATCH($A26,Mapping!$A:$A,0)),"")</f>
        <v>BS</v>
      </c>
      <c r="G26" t="str">
        <f>IFERROR(INDEX(Mapping!$C:$C,MATCH($A26,Mapping!$A:$A,0)),"")</f>
        <v>Passifs courants</v>
      </c>
      <c r="H26" t="str">
        <f>IFERROR(INDEX(Mapping!$D:$D,MATCH($A26,Mapping!$A:$A,0)),"")</f>
        <v>Personnel</v>
      </c>
      <c r="I26" t="str">
        <f>IFERROR(INDEX(Mapping!$E:$E,MATCH($A26,Mapping!$A:$A,0)),"")</f>
        <v>Masse salariale</v>
      </c>
      <c r="J26" t="str">
        <f>IFERROR(INDEX(Mapping!$F:$F,MATCH($A26,Mapping!$A:$A,0)),"")</f>
        <v>Salaires à payer</v>
      </c>
    </row>
    <row r="27" spans="1:10" ht="14.25" customHeight="1">
      <c r="A27" t="s">
        <v>435</v>
      </c>
      <c r="B27" t="str">
        <f t="shared" si="0"/>
        <v>Lib compte 4282</v>
      </c>
      <c r="C27" s="88">
        <v>-918.1028</v>
      </c>
      <c r="D27" s="88">
        <v>-2475.0169999999998</v>
      </c>
      <c r="E27" s="88">
        <v>-4856.6016</v>
      </c>
      <c r="F27" t="str">
        <f>IFERROR(INDEX(Mapping!$B:$B,MATCH($A27,Mapping!$A:$A,0)),"")</f>
        <v>BS</v>
      </c>
      <c r="G27" t="str">
        <f>IFERROR(INDEX(Mapping!$C:$C,MATCH($A27,Mapping!$A:$A,0)),"")</f>
        <v>Passifs courants</v>
      </c>
      <c r="H27" t="str">
        <f>IFERROR(INDEX(Mapping!$D:$D,MATCH($A27,Mapping!$A:$A,0)),"")</f>
        <v>Personnel</v>
      </c>
      <c r="I27" t="str">
        <f>IFERROR(INDEX(Mapping!$E:$E,MATCH($A27,Mapping!$A:$A,0)),"")</f>
        <v>Masse salariale</v>
      </c>
      <c r="J27" t="str">
        <f>IFERROR(INDEX(Mapping!$F:$F,MATCH($A27,Mapping!$A:$A,0)),"")</f>
        <v>Congés à payer</v>
      </c>
    </row>
    <row r="28" spans="1:10" ht="14.25" customHeight="1">
      <c r="A28" t="s">
        <v>437</v>
      </c>
      <c r="B28" t="str">
        <f t="shared" si="0"/>
        <v>Lib compte 431</v>
      </c>
      <c r="C28" s="88">
        <v>-316.04590000000002</v>
      </c>
      <c r="D28" s="88">
        <v>-684.2115</v>
      </c>
      <c r="E28" s="88">
        <v>-422.55369999999999</v>
      </c>
      <c r="F28" t="str">
        <f>IFERROR(INDEX(Mapping!$B:$B,MATCH($A28,Mapping!$A:$A,0)),"")</f>
        <v>BS</v>
      </c>
      <c r="G28" t="str">
        <f>IFERROR(INDEX(Mapping!$C:$C,MATCH($A28,Mapping!$A:$A,0)),"")</f>
        <v>Passifs courants</v>
      </c>
      <c r="H28" t="str">
        <f>IFERROR(INDEX(Mapping!$D:$D,MATCH($A28,Mapping!$A:$A,0)),"")</f>
        <v>Dettes sociales</v>
      </c>
      <c r="I28" t="str">
        <f>IFERROR(INDEX(Mapping!$E:$E,MATCH($A28,Mapping!$A:$A,0)),"")</f>
        <v>Charges sociales</v>
      </c>
      <c r="J28" t="str">
        <f>IFERROR(INDEX(Mapping!$F:$F,MATCH($A28,Mapping!$A:$A,0)),"")</f>
        <v>Sécurité sociale</v>
      </c>
    </row>
    <row r="29" spans="1:10" ht="14.25" customHeight="1">
      <c r="A29" t="s">
        <v>439</v>
      </c>
      <c r="B29" t="str">
        <f t="shared" si="0"/>
        <v>Lib compte 4373</v>
      </c>
      <c r="C29" s="88">
        <v>-81.673100000000005</v>
      </c>
      <c r="D29" s="88">
        <v>-156.40190000000001</v>
      </c>
      <c r="E29" s="88">
        <v>-483.52229999999997</v>
      </c>
      <c r="F29" t="str">
        <f>IFERROR(INDEX(Mapping!$B:$B,MATCH($A29,Mapping!$A:$A,0)),"")</f>
        <v>BS</v>
      </c>
      <c r="G29" t="str">
        <f>IFERROR(INDEX(Mapping!$C:$C,MATCH($A29,Mapping!$A:$A,0)),"")</f>
        <v>Passifs courants</v>
      </c>
      <c r="H29" t="str">
        <f>IFERROR(INDEX(Mapping!$D:$D,MATCH($A29,Mapping!$A:$A,0)),"")</f>
        <v>Dettes sociales</v>
      </c>
      <c r="I29" t="str">
        <f>IFERROR(INDEX(Mapping!$E:$E,MATCH($A29,Mapping!$A:$A,0)),"")</f>
        <v>Charges sociales</v>
      </c>
      <c r="J29" t="str">
        <f>IFERROR(INDEX(Mapping!$F:$F,MATCH($A29,Mapping!$A:$A,0)),"")</f>
        <v>Autres charges sociales</v>
      </c>
    </row>
    <row r="30" spans="1:10" ht="14.25" customHeight="1">
      <c r="A30" t="s">
        <v>441</v>
      </c>
      <c r="B30" t="str">
        <f t="shared" si="0"/>
        <v>Lib compte 4375</v>
      </c>
      <c r="C30" s="88">
        <v>-90.265199999999993</v>
      </c>
      <c r="D30" s="88">
        <v>-81.191599999999994</v>
      </c>
      <c r="E30" s="88">
        <v>-297.48140000000001</v>
      </c>
      <c r="F30" t="str">
        <f>IFERROR(INDEX(Mapping!$B:$B,MATCH($A30,Mapping!$A:$A,0)),"")</f>
        <v>BS</v>
      </c>
      <c r="G30" t="str">
        <f>IFERROR(INDEX(Mapping!$C:$C,MATCH($A30,Mapping!$A:$A,0)),"")</f>
        <v>Passifs courants</v>
      </c>
      <c r="H30" t="str">
        <f>IFERROR(INDEX(Mapping!$D:$D,MATCH($A30,Mapping!$A:$A,0)),"")</f>
        <v>Dettes sociales</v>
      </c>
      <c r="I30" t="str">
        <f>IFERROR(INDEX(Mapping!$E:$E,MATCH($A30,Mapping!$A:$A,0)),"")</f>
        <v>Charges sociales</v>
      </c>
      <c r="J30" t="str">
        <f>IFERROR(INDEX(Mapping!$F:$F,MATCH($A30,Mapping!$A:$A,0)),"")</f>
        <v>Autres charges sociales</v>
      </c>
    </row>
    <row r="31" spans="1:10" ht="14.25" customHeight="1">
      <c r="A31" t="s">
        <v>442</v>
      </c>
      <c r="B31" t="str">
        <f t="shared" si="0"/>
        <v>Lib compte 4376</v>
      </c>
      <c r="C31" s="88">
        <v>-213.679</v>
      </c>
      <c r="D31" s="88">
        <v>-409.27499999999998</v>
      </c>
      <c r="E31" s="88">
        <v>-682.125</v>
      </c>
      <c r="F31" t="str">
        <f>IFERROR(INDEX(Mapping!$B:$B,MATCH($A31,Mapping!$A:$A,0)),"")</f>
        <v>BS</v>
      </c>
      <c r="G31" t="str">
        <f>IFERROR(INDEX(Mapping!$C:$C,MATCH($A31,Mapping!$A:$A,0)),"")</f>
        <v>Passifs courants</v>
      </c>
      <c r="H31" t="str">
        <f>IFERROR(INDEX(Mapping!$D:$D,MATCH($A31,Mapping!$A:$A,0)),"")</f>
        <v>Dettes sociales</v>
      </c>
      <c r="I31" t="str">
        <f>IFERROR(INDEX(Mapping!$E:$E,MATCH($A31,Mapping!$A:$A,0)),"")</f>
        <v>Charges sociales</v>
      </c>
      <c r="J31" t="str">
        <f>IFERROR(INDEX(Mapping!$F:$F,MATCH($A31,Mapping!$A:$A,0)),"")</f>
        <v>Autres charges sociales</v>
      </c>
    </row>
    <row r="32" spans="1:10" ht="14.25" customHeight="1">
      <c r="A32" t="s">
        <v>443</v>
      </c>
      <c r="B32" t="str">
        <f t="shared" si="0"/>
        <v>Lib compte 4378</v>
      </c>
      <c r="C32" s="88">
        <v>0</v>
      </c>
      <c r="D32" s="88">
        <v>0</v>
      </c>
      <c r="E32" s="88">
        <v>-8.0143000000000004</v>
      </c>
      <c r="F32" t="str">
        <f>IFERROR(INDEX(Mapping!$B:$B,MATCH($A32,Mapping!$A:$A,0)),"")</f>
        <v>BS</v>
      </c>
      <c r="G32" t="str">
        <f>IFERROR(INDEX(Mapping!$C:$C,MATCH($A32,Mapping!$A:$A,0)),"")</f>
        <v>Passifs courants</v>
      </c>
      <c r="H32" t="str">
        <f>IFERROR(INDEX(Mapping!$D:$D,MATCH($A32,Mapping!$A:$A,0)),"")</f>
        <v>Dettes sociales</v>
      </c>
      <c r="I32" t="str">
        <f>IFERROR(INDEX(Mapping!$E:$E,MATCH($A32,Mapping!$A:$A,0)),"")</f>
        <v>Charges sociales</v>
      </c>
      <c r="J32" t="str">
        <f>IFERROR(INDEX(Mapping!$F:$F,MATCH($A32,Mapping!$A:$A,0)),"")</f>
        <v>Autres charges sociales</v>
      </c>
    </row>
    <row r="33" spans="1:10" ht="14.25" customHeight="1">
      <c r="A33" t="s">
        <v>444</v>
      </c>
      <c r="B33" t="str">
        <f t="shared" si="0"/>
        <v>Lib compte 4382</v>
      </c>
      <c r="C33" s="88">
        <v>-107.2568</v>
      </c>
      <c r="D33" s="88">
        <v>-478.34350000000001</v>
      </c>
      <c r="E33" s="88">
        <v>-362.67649999999998</v>
      </c>
      <c r="F33" t="str">
        <f>IFERROR(INDEX(Mapping!$B:$B,MATCH($A33,Mapping!$A:$A,0)),"")</f>
        <v>BS</v>
      </c>
      <c r="G33" t="str">
        <f>IFERROR(INDEX(Mapping!$C:$C,MATCH($A33,Mapping!$A:$A,0)),"")</f>
        <v>Passifs courants</v>
      </c>
      <c r="H33" t="str">
        <f>IFERROR(INDEX(Mapping!$D:$D,MATCH($A33,Mapping!$A:$A,0)),"")</f>
        <v>Dettes sociales</v>
      </c>
      <c r="I33" t="str">
        <f>IFERROR(INDEX(Mapping!$E:$E,MATCH($A33,Mapping!$A:$A,0)),"")</f>
        <v>Charges sociales</v>
      </c>
      <c r="J33" t="str">
        <f>IFERROR(INDEX(Mapping!$F:$F,MATCH($A33,Mapping!$A:$A,0)),"")</f>
        <v>Charges sociales à payer</v>
      </c>
    </row>
    <row r="34" spans="1:10" ht="14.25" customHeight="1">
      <c r="A34" t="s">
        <v>446</v>
      </c>
      <c r="B34" t="str">
        <f t="shared" ref="B34:B65" si="1">"Lib compte "&amp;A34</f>
        <v>Lib compte 4421</v>
      </c>
      <c r="C34" s="88">
        <v>0</v>
      </c>
      <c r="D34" s="88">
        <v>0</v>
      </c>
      <c r="E34" s="88">
        <v>0</v>
      </c>
      <c r="F34" t="str">
        <f>IFERROR(INDEX(Mapping!$B:$B,MATCH($A34,Mapping!$A:$A,0)),"")</f>
        <v>BS</v>
      </c>
      <c r="G34" t="str">
        <f>IFERROR(INDEX(Mapping!$C:$C,MATCH($A34,Mapping!$A:$A,0)),"")</f>
        <v>Passifs courants</v>
      </c>
      <c r="H34" t="str">
        <f>IFERROR(INDEX(Mapping!$D:$D,MATCH($A34,Mapping!$A:$A,0)),"")</f>
        <v>Dettes fiscales</v>
      </c>
      <c r="I34" t="str">
        <f>IFERROR(INDEX(Mapping!$E:$E,MATCH($A34,Mapping!$A:$A,0)),"")</f>
        <v>Autres impôts et taxes</v>
      </c>
      <c r="J34" t="str">
        <f>IFERROR(INDEX(Mapping!$F:$F,MATCH($A34,Mapping!$A:$A,0)),"")</f>
        <v>Taxes collectées</v>
      </c>
    </row>
    <row r="35" spans="1:10" ht="14.25" customHeight="1">
      <c r="A35" t="s">
        <v>448</v>
      </c>
      <c r="B35" t="str">
        <f t="shared" si="1"/>
        <v>Lib compte 444</v>
      </c>
      <c r="C35" s="88">
        <v>-1515.12</v>
      </c>
      <c r="D35" s="88">
        <v>-6243.45</v>
      </c>
      <c r="E35" s="88">
        <v>832.46</v>
      </c>
      <c r="F35" t="str">
        <f>IFERROR(INDEX(Mapping!$B:$B,MATCH($A35,Mapping!$A:$A,0)),"")</f>
        <v>BS</v>
      </c>
      <c r="G35" t="str">
        <f>IFERROR(INDEX(Mapping!$C:$C,MATCH($A35,Mapping!$A:$A,0)),"")</f>
        <v>Passifs courants</v>
      </c>
      <c r="H35" t="str">
        <f>IFERROR(INDEX(Mapping!$D:$D,MATCH($A35,Mapping!$A:$A,0)),"")</f>
        <v>Dettes fiscales</v>
      </c>
      <c r="I35" t="str">
        <f>IFERROR(INDEX(Mapping!$E:$E,MATCH($A35,Mapping!$A:$A,0)),"")</f>
        <v>Impôt sur les sociétés</v>
      </c>
      <c r="J35" t="str">
        <f>IFERROR(INDEX(Mapping!$F:$F,MATCH($A35,Mapping!$A:$A,0)),"")</f>
        <v>Impôt sur les sociétés à payer</v>
      </c>
    </row>
    <row r="36" spans="1:10" ht="14.25" customHeight="1">
      <c r="A36" t="s">
        <v>450</v>
      </c>
      <c r="B36" t="str">
        <f t="shared" si="1"/>
        <v>Lib compte 4452</v>
      </c>
      <c r="C36" s="88">
        <v>0</v>
      </c>
      <c r="D36" s="88">
        <v>0</v>
      </c>
      <c r="E36" s="88">
        <v>0</v>
      </c>
      <c r="F36" t="str">
        <f>IFERROR(INDEX(Mapping!$B:$B,MATCH($A36,Mapping!$A:$A,0)),"")</f>
        <v>BS</v>
      </c>
      <c r="G36" t="str">
        <f>IFERROR(INDEX(Mapping!$C:$C,MATCH($A36,Mapping!$A:$A,0)),"")</f>
        <v>Passifs courants</v>
      </c>
      <c r="H36" t="str">
        <f>IFERROR(INDEX(Mapping!$D:$D,MATCH($A36,Mapping!$A:$A,0)),"")</f>
        <v>État et collectivités</v>
      </c>
      <c r="I36" t="str">
        <f>IFERROR(INDEX(Mapping!$E:$E,MATCH($A36,Mapping!$A:$A,0)),"")</f>
        <v>TVA</v>
      </c>
      <c r="J36" t="str">
        <f>IFERROR(INDEX(Mapping!$F:$F,MATCH($A36,Mapping!$A:$A,0)),"")</f>
        <v>TVA</v>
      </c>
    </row>
    <row r="37" spans="1:10" ht="14.25" customHeight="1">
      <c r="A37" t="s">
        <v>451</v>
      </c>
      <c r="B37" t="str">
        <f t="shared" si="1"/>
        <v>Lib compte 445202</v>
      </c>
      <c r="C37" s="88">
        <v>0</v>
      </c>
      <c r="D37" s="88">
        <v>0</v>
      </c>
      <c r="E37" s="88">
        <v>-374.072</v>
      </c>
      <c r="F37" t="str">
        <f>IFERROR(INDEX(Mapping!$B:$B,MATCH($A37,Mapping!$A:$A,0)),"")</f>
        <v>BS</v>
      </c>
      <c r="G37" t="str">
        <f>IFERROR(INDEX(Mapping!$C:$C,MATCH($A37,Mapping!$A:$A,0)),"")</f>
        <v>Passifs courants</v>
      </c>
      <c r="H37" t="str">
        <f>IFERROR(INDEX(Mapping!$D:$D,MATCH($A37,Mapping!$A:$A,0)),"")</f>
        <v>État et collectivités</v>
      </c>
      <c r="I37" t="str">
        <f>IFERROR(INDEX(Mapping!$E:$E,MATCH($A37,Mapping!$A:$A,0)),"")</f>
        <v>TVA</v>
      </c>
      <c r="J37" t="str">
        <f>IFERROR(INDEX(Mapping!$F:$F,MATCH($A37,Mapping!$A:$A,0)),"")</f>
        <v>TVA</v>
      </c>
    </row>
    <row r="38" spans="1:10" ht="14.25" customHeight="1">
      <c r="A38" t="s">
        <v>452</v>
      </c>
      <c r="B38" t="str">
        <f t="shared" si="1"/>
        <v>Lib compte 44551</v>
      </c>
      <c r="C38" s="88">
        <v>-8708.4197000000004</v>
      </c>
      <c r="D38" s="88">
        <v>-4653.43</v>
      </c>
      <c r="E38" s="88">
        <v>-92.02</v>
      </c>
      <c r="F38" t="str">
        <f>IFERROR(INDEX(Mapping!$B:$B,MATCH($A38,Mapping!$A:$A,0)),"")</f>
        <v>BS</v>
      </c>
      <c r="G38" t="str">
        <f>IFERROR(INDEX(Mapping!$C:$C,MATCH($A38,Mapping!$A:$A,0)),"")</f>
        <v>Passifs courants</v>
      </c>
      <c r="H38" t="str">
        <f>IFERROR(INDEX(Mapping!$D:$D,MATCH($A38,Mapping!$A:$A,0)),"")</f>
        <v>État et collectivités</v>
      </c>
      <c r="I38" t="str">
        <f>IFERROR(INDEX(Mapping!$E:$E,MATCH($A38,Mapping!$A:$A,0)),"")</f>
        <v>TVA</v>
      </c>
      <c r="J38" t="str">
        <f>IFERROR(INDEX(Mapping!$F:$F,MATCH($A38,Mapping!$A:$A,0)),"")</f>
        <v>TVA</v>
      </c>
    </row>
    <row r="39" spans="1:10" ht="14.25" customHeight="1">
      <c r="A39" t="s">
        <v>453</v>
      </c>
      <c r="B39" t="str">
        <f t="shared" si="1"/>
        <v>Lib compte 44562</v>
      </c>
      <c r="C39" s="88">
        <v>60.99</v>
      </c>
      <c r="D39" s="88">
        <v>4025.34</v>
      </c>
      <c r="E39" s="88">
        <v>0</v>
      </c>
      <c r="F39" t="str">
        <f>IFERROR(INDEX(Mapping!$B:$B,MATCH($A39,Mapping!$A:$A,0)),"")</f>
        <v>BS</v>
      </c>
      <c r="G39" t="str">
        <f>IFERROR(INDEX(Mapping!$C:$C,MATCH($A39,Mapping!$A:$A,0)),"")</f>
        <v>Passifs courants</v>
      </c>
      <c r="H39" t="str">
        <f>IFERROR(INDEX(Mapping!$D:$D,MATCH($A39,Mapping!$A:$A,0)),"")</f>
        <v>État et collectivités</v>
      </c>
      <c r="I39" t="str">
        <f>IFERROR(INDEX(Mapping!$E:$E,MATCH($A39,Mapping!$A:$A,0)),"")</f>
        <v>TVA</v>
      </c>
      <c r="J39" t="str">
        <f>IFERROR(INDEX(Mapping!$F:$F,MATCH($A39,Mapping!$A:$A,0)),"")</f>
        <v>TVA</v>
      </c>
    </row>
    <row r="40" spans="1:10" ht="14.25" customHeight="1">
      <c r="A40" t="s">
        <v>454</v>
      </c>
      <c r="B40" t="str">
        <f t="shared" si="1"/>
        <v>Lib compte 44566</v>
      </c>
      <c r="C40" s="88">
        <v>5105.0342000000001</v>
      </c>
      <c r="D40" s="88">
        <v>13266.908600000001</v>
      </c>
      <c r="E40" s="88">
        <v>4809.4787999999999</v>
      </c>
      <c r="F40" t="str">
        <f>IFERROR(INDEX(Mapping!$B:$B,MATCH($A40,Mapping!$A:$A,0)),"")</f>
        <v>BS</v>
      </c>
      <c r="G40" t="str">
        <f>IFERROR(INDEX(Mapping!$C:$C,MATCH($A40,Mapping!$A:$A,0)),"")</f>
        <v>Passifs courants</v>
      </c>
      <c r="H40" t="str">
        <f>IFERROR(INDEX(Mapping!$D:$D,MATCH($A40,Mapping!$A:$A,0)),"")</f>
        <v>État et collectivités</v>
      </c>
      <c r="I40" t="str">
        <f>IFERROR(INDEX(Mapping!$E:$E,MATCH($A40,Mapping!$A:$A,0)),"")</f>
        <v>TVA</v>
      </c>
      <c r="J40" t="str">
        <f>IFERROR(INDEX(Mapping!$F:$F,MATCH($A40,Mapping!$A:$A,0)),"")</f>
        <v>TVA</v>
      </c>
    </row>
    <row r="41" spans="1:10" ht="14.25" customHeight="1">
      <c r="A41" t="s">
        <v>455</v>
      </c>
      <c r="B41" t="str">
        <f t="shared" si="1"/>
        <v>Lib compte 445669</v>
      </c>
      <c r="C41" s="88">
        <v>0</v>
      </c>
      <c r="D41" s="88">
        <v>0</v>
      </c>
      <c r="E41" s="88">
        <v>374.072</v>
      </c>
      <c r="F41" t="str">
        <f>IFERROR(INDEX(Mapping!$B:$B,MATCH($A41,Mapping!$A:$A,0)),"")</f>
        <v>BS</v>
      </c>
      <c r="G41" t="str">
        <f>IFERROR(INDEX(Mapping!$C:$C,MATCH($A41,Mapping!$A:$A,0)),"")</f>
        <v>Passifs courants</v>
      </c>
      <c r="H41" t="str">
        <f>IFERROR(INDEX(Mapping!$D:$D,MATCH($A41,Mapping!$A:$A,0)),"")</f>
        <v>État et collectivités</v>
      </c>
      <c r="I41" t="str">
        <f>IFERROR(INDEX(Mapping!$E:$E,MATCH($A41,Mapping!$A:$A,0)),"")</f>
        <v>TVA</v>
      </c>
      <c r="J41" t="str">
        <f>IFERROR(INDEX(Mapping!$F:$F,MATCH($A41,Mapping!$A:$A,0)),"")</f>
        <v>TVA</v>
      </c>
    </row>
    <row r="42" spans="1:10" ht="14.25" customHeight="1">
      <c r="A42" t="s">
        <v>456</v>
      </c>
      <c r="B42" t="str">
        <f t="shared" si="1"/>
        <v>Lib compte 44567</v>
      </c>
      <c r="C42" s="88">
        <v>0</v>
      </c>
      <c r="D42" s="88">
        <v>0</v>
      </c>
      <c r="E42" s="88">
        <v>0</v>
      </c>
      <c r="F42" t="str">
        <f>IFERROR(INDEX(Mapping!$B:$B,MATCH($A42,Mapping!$A:$A,0)),"")</f>
        <v>BS</v>
      </c>
      <c r="G42" t="str">
        <f>IFERROR(INDEX(Mapping!$C:$C,MATCH($A42,Mapping!$A:$A,0)),"")</f>
        <v>Passifs courants</v>
      </c>
      <c r="H42" t="str">
        <f>IFERROR(INDEX(Mapping!$D:$D,MATCH($A42,Mapping!$A:$A,0)),"")</f>
        <v>État et collectivités</v>
      </c>
      <c r="I42" t="str">
        <f>IFERROR(INDEX(Mapping!$E:$E,MATCH($A42,Mapping!$A:$A,0)),"")</f>
        <v>TVA</v>
      </c>
      <c r="J42" t="str">
        <f>IFERROR(INDEX(Mapping!$F:$F,MATCH($A42,Mapping!$A:$A,0)),"")</f>
        <v>TVA</v>
      </c>
    </row>
    <row r="43" spans="1:10" ht="14.25" customHeight="1">
      <c r="A43" t="s">
        <v>457</v>
      </c>
      <c r="B43" t="str">
        <f t="shared" si="1"/>
        <v>Lib compte 445711</v>
      </c>
      <c r="C43" s="88">
        <v>-4195.4913999999999</v>
      </c>
      <c r="D43" s="88">
        <v>-7763.4920000000002</v>
      </c>
      <c r="E43" s="88">
        <v>-7812.0914000000002</v>
      </c>
      <c r="F43" t="str">
        <f>IFERROR(INDEX(Mapping!$B:$B,MATCH($A43,Mapping!$A:$A,0)),"")</f>
        <v>BS</v>
      </c>
      <c r="G43" t="str">
        <f>IFERROR(INDEX(Mapping!$C:$C,MATCH($A43,Mapping!$A:$A,0)),"")</f>
        <v>Passifs courants</v>
      </c>
      <c r="H43" t="str">
        <f>IFERROR(INDEX(Mapping!$D:$D,MATCH($A43,Mapping!$A:$A,0)),"")</f>
        <v>État et collectivités</v>
      </c>
      <c r="I43" t="str">
        <f>IFERROR(INDEX(Mapping!$E:$E,MATCH($A43,Mapping!$A:$A,0)),"")</f>
        <v>TVA</v>
      </c>
      <c r="J43" t="str">
        <f>IFERROR(INDEX(Mapping!$F:$F,MATCH($A43,Mapping!$A:$A,0)),"")</f>
        <v>TVA</v>
      </c>
    </row>
    <row r="44" spans="1:10" ht="14.25" customHeight="1">
      <c r="A44" t="s">
        <v>458</v>
      </c>
      <c r="B44" t="str">
        <f t="shared" si="1"/>
        <v>Lib compte 445718</v>
      </c>
      <c r="C44" s="88">
        <v>-309.77569999999997</v>
      </c>
      <c r="D44" s="88">
        <v>0</v>
      </c>
      <c r="E44" s="88">
        <v>-74.300799999999995</v>
      </c>
      <c r="F44" t="str">
        <f>IFERROR(INDEX(Mapping!$B:$B,MATCH($A44,Mapping!$A:$A,0)),"")</f>
        <v>BS</v>
      </c>
      <c r="G44" t="str">
        <f>IFERROR(INDEX(Mapping!$C:$C,MATCH($A44,Mapping!$A:$A,0)),"")</f>
        <v>Passifs courants</v>
      </c>
      <c r="H44" t="str">
        <f>IFERROR(INDEX(Mapping!$D:$D,MATCH($A44,Mapping!$A:$A,0)),"")</f>
        <v>État et collectivités</v>
      </c>
      <c r="I44" t="str">
        <f>IFERROR(INDEX(Mapping!$E:$E,MATCH($A44,Mapping!$A:$A,0)),"")</f>
        <v>TVA</v>
      </c>
      <c r="J44" t="str">
        <f>IFERROR(INDEX(Mapping!$F:$F,MATCH($A44,Mapping!$A:$A,0)),"")</f>
        <v>TVA</v>
      </c>
    </row>
    <row r="45" spans="1:10" ht="14.25" customHeight="1">
      <c r="A45" t="s">
        <v>459</v>
      </c>
      <c r="B45" t="str">
        <f t="shared" si="1"/>
        <v>Lib compte 4458</v>
      </c>
      <c r="C45" s="88">
        <v>881.85119999999995</v>
      </c>
      <c r="D45" s="88">
        <v>231.43029999999999</v>
      </c>
      <c r="E45" s="88">
        <v>-3404.4511000000002</v>
      </c>
      <c r="F45" t="str">
        <f>IFERROR(INDEX(Mapping!$B:$B,MATCH($A45,Mapping!$A:$A,0)),"")</f>
        <v>BS</v>
      </c>
      <c r="G45" t="str">
        <f>IFERROR(INDEX(Mapping!$C:$C,MATCH($A45,Mapping!$A:$A,0)),"")</f>
        <v>Passifs courants</v>
      </c>
      <c r="H45" t="str">
        <f>IFERROR(INDEX(Mapping!$D:$D,MATCH($A45,Mapping!$A:$A,0)),"")</f>
        <v>État et collectivités</v>
      </c>
      <c r="I45" t="str">
        <f>IFERROR(INDEX(Mapping!$E:$E,MATCH($A45,Mapping!$A:$A,0)),"")</f>
        <v>TVA</v>
      </c>
      <c r="J45" t="str">
        <f>IFERROR(INDEX(Mapping!$F:$F,MATCH($A45,Mapping!$A:$A,0)),"")</f>
        <v>TVA</v>
      </c>
    </row>
    <row r="46" spans="1:10" ht="14.25" customHeight="1">
      <c r="A46" t="s">
        <v>460</v>
      </c>
      <c r="B46" t="str">
        <f t="shared" si="1"/>
        <v>Lib compte 44583</v>
      </c>
      <c r="C46" s="88">
        <v>0</v>
      </c>
      <c r="D46" s="88">
        <v>0</v>
      </c>
      <c r="E46" s="88">
        <v>0</v>
      </c>
      <c r="F46" t="str">
        <f>IFERROR(INDEX(Mapping!$B:$B,MATCH($A46,Mapping!$A:$A,0)),"")</f>
        <v>BS</v>
      </c>
      <c r="G46" t="str">
        <f>IFERROR(INDEX(Mapping!$C:$C,MATCH($A46,Mapping!$A:$A,0)),"")</f>
        <v>Passifs courants</v>
      </c>
      <c r="H46" t="str">
        <f>IFERROR(INDEX(Mapping!$D:$D,MATCH($A46,Mapping!$A:$A,0)),"")</f>
        <v>Dettes fiscales</v>
      </c>
      <c r="I46" t="str">
        <f>IFERROR(INDEX(Mapping!$E:$E,MATCH($A46,Mapping!$A:$A,0)),"")</f>
        <v>TVA</v>
      </c>
      <c r="J46" t="str">
        <f>IFERROR(INDEX(Mapping!$F:$F,MATCH($A46,Mapping!$A:$A,0)),"")</f>
        <v>Régularisations de TVA</v>
      </c>
    </row>
    <row r="47" spans="1:10" ht="14.25" customHeight="1">
      <c r="A47" t="s">
        <v>462</v>
      </c>
      <c r="B47" t="str">
        <f t="shared" si="1"/>
        <v>Lib compte 44586</v>
      </c>
      <c r="C47" s="88">
        <v>623.16800000000001</v>
      </c>
      <c r="D47" s="88">
        <v>0</v>
      </c>
      <c r="E47" s="88">
        <v>6771.3023999999996</v>
      </c>
      <c r="F47" t="str">
        <f>IFERROR(INDEX(Mapping!$B:$B,MATCH($A47,Mapping!$A:$A,0)),"")</f>
        <v>BS</v>
      </c>
      <c r="G47" t="str">
        <f>IFERROR(INDEX(Mapping!$C:$C,MATCH($A47,Mapping!$A:$A,0)),"")</f>
        <v>Passifs courants</v>
      </c>
      <c r="H47" t="str">
        <f>IFERROR(INDEX(Mapping!$D:$D,MATCH($A47,Mapping!$A:$A,0)),"")</f>
        <v>Dettes fiscales</v>
      </c>
      <c r="I47" t="str">
        <f>IFERROR(INDEX(Mapping!$E:$E,MATCH($A47,Mapping!$A:$A,0)),"")</f>
        <v>TVA</v>
      </c>
      <c r="J47" t="str">
        <f>IFERROR(INDEX(Mapping!$F:$F,MATCH($A47,Mapping!$A:$A,0)),"")</f>
        <v>Régularisations de TVA</v>
      </c>
    </row>
    <row r="48" spans="1:10" ht="14.25" customHeight="1">
      <c r="A48" t="s">
        <v>463</v>
      </c>
      <c r="B48" t="str">
        <f t="shared" si="1"/>
        <v>Lib compte 4486</v>
      </c>
      <c r="C48" s="88">
        <v>-632.37</v>
      </c>
      <c r="D48" s="88">
        <v>-624.88</v>
      </c>
      <c r="E48" s="88">
        <v>-624.88</v>
      </c>
      <c r="F48" t="str">
        <f>IFERROR(INDEX(Mapping!$B:$B,MATCH($A48,Mapping!$A:$A,0)),"")</f>
        <v>BS</v>
      </c>
      <c r="G48" t="str">
        <f>IFERROR(INDEX(Mapping!$C:$C,MATCH($A48,Mapping!$A:$A,0)),"")</f>
        <v>Passifs courants</v>
      </c>
      <c r="H48" t="str">
        <f>IFERROR(INDEX(Mapping!$D:$D,MATCH($A48,Mapping!$A:$A,0)),"")</f>
        <v>Dettes fiscales</v>
      </c>
      <c r="I48" t="str">
        <f>IFERROR(INDEX(Mapping!$E:$E,MATCH($A48,Mapping!$A:$A,0)),"")</f>
        <v>Autres impôts et taxes</v>
      </c>
      <c r="J48" t="str">
        <f>IFERROR(INDEX(Mapping!$F:$F,MATCH($A48,Mapping!$A:$A,0)),"")</f>
        <v>Charges à payer - État</v>
      </c>
    </row>
    <row r="49" spans="1:10" ht="14.25" customHeight="1">
      <c r="A49" t="s">
        <v>465</v>
      </c>
      <c r="B49" t="str">
        <f t="shared" si="1"/>
        <v>Lib compte 44862</v>
      </c>
      <c r="C49" s="88">
        <v>0</v>
      </c>
      <c r="D49" s="88">
        <v>0</v>
      </c>
      <c r="E49" s="88">
        <v>0</v>
      </c>
      <c r="F49" t="str">
        <f>IFERROR(INDEX(Mapping!$B:$B,MATCH($A49,Mapping!$A:$A,0)),"")</f>
        <v>BS</v>
      </c>
      <c r="G49" t="str">
        <f>IFERROR(INDEX(Mapping!$C:$C,MATCH($A49,Mapping!$A:$A,0)),"")</f>
        <v>Passifs courants</v>
      </c>
      <c r="H49" t="str">
        <f>IFERROR(INDEX(Mapping!$D:$D,MATCH($A49,Mapping!$A:$A,0)),"")</f>
        <v>Dettes fiscales</v>
      </c>
      <c r="I49" t="str">
        <f>IFERROR(INDEX(Mapping!$E:$E,MATCH($A49,Mapping!$A:$A,0)),"")</f>
        <v>Autres impôts et taxes</v>
      </c>
      <c r="J49" t="str">
        <f>IFERROR(INDEX(Mapping!$F:$F,MATCH($A49,Mapping!$A:$A,0)),"")</f>
        <v>Charges à payer - État</v>
      </c>
    </row>
    <row r="50" spans="1:10" ht="14.25" customHeight="1">
      <c r="A50" t="s">
        <v>466</v>
      </c>
      <c r="B50" t="str">
        <f t="shared" si="1"/>
        <v>Lib compte 44863</v>
      </c>
      <c r="C50" s="88">
        <v>-289.89510000000001</v>
      </c>
      <c r="D50" s="88">
        <v>-5.2323000000000004</v>
      </c>
      <c r="E50" s="88">
        <v>-10.999599999999999</v>
      </c>
      <c r="F50" t="str">
        <f>IFERROR(INDEX(Mapping!$B:$B,MATCH($A50,Mapping!$A:$A,0)),"")</f>
        <v>BS</v>
      </c>
      <c r="G50" t="str">
        <f>IFERROR(INDEX(Mapping!$C:$C,MATCH($A50,Mapping!$A:$A,0)),"")</f>
        <v>Passifs courants</v>
      </c>
      <c r="H50" t="str">
        <f>IFERROR(INDEX(Mapping!$D:$D,MATCH($A50,Mapping!$A:$A,0)),"")</f>
        <v>Dettes fiscales</v>
      </c>
      <c r="I50" t="str">
        <f>IFERROR(INDEX(Mapping!$E:$E,MATCH($A50,Mapping!$A:$A,0)),"")</f>
        <v>Autres impôts et taxes</v>
      </c>
      <c r="J50" t="str">
        <f>IFERROR(INDEX(Mapping!$F:$F,MATCH($A50,Mapping!$A:$A,0)),"")</f>
        <v>Charges à payer - État</v>
      </c>
    </row>
    <row r="51" spans="1:10" ht="14.25" customHeight="1">
      <c r="A51" t="s">
        <v>467</v>
      </c>
      <c r="B51" t="str">
        <f t="shared" si="1"/>
        <v>Lib compte 4551</v>
      </c>
      <c r="C51" s="88">
        <v>-15674.387199999999</v>
      </c>
      <c r="D51" s="88">
        <v>-15674.387199999999</v>
      </c>
      <c r="E51" s="88">
        <v>0</v>
      </c>
      <c r="F51" t="str">
        <f>IFERROR(INDEX(Mapping!$B:$B,MATCH($A51,Mapping!$A:$A,0)),"")</f>
        <v>BS</v>
      </c>
      <c r="G51" t="str">
        <f>IFERROR(INDEX(Mapping!$C:$C,MATCH($A51,Mapping!$A:$A,0)),"")</f>
        <v>Passifs courants</v>
      </c>
      <c r="H51" t="str">
        <f>IFERROR(INDEX(Mapping!$D:$D,MATCH($A51,Mapping!$A:$A,0)),"")</f>
        <v>Groupe / Associés</v>
      </c>
      <c r="I51" t="str">
        <f>IFERROR(INDEX(Mapping!$E:$E,MATCH($A51,Mapping!$A:$A,0)),"")</f>
        <v>Comptes groupe</v>
      </c>
      <c r="J51" t="str">
        <f>IFERROR(INDEX(Mapping!$F:$F,MATCH($A51,Mapping!$A:$A,0)),"")</f>
        <v>Comptes courants d'associés</v>
      </c>
    </row>
    <row r="52" spans="1:10" ht="14.25" customHeight="1">
      <c r="A52" t="s">
        <v>469</v>
      </c>
      <c r="B52" t="str">
        <f t="shared" si="1"/>
        <v>Lib compte 4552</v>
      </c>
      <c r="C52" s="88">
        <v>-23219</v>
      </c>
      <c r="D52" s="88">
        <v>-23219</v>
      </c>
      <c r="E52" s="88">
        <v>-23219</v>
      </c>
      <c r="F52" t="str">
        <f>IFERROR(INDEX(Mapping!$B:$B,MATCH($A52,Mapping!$A:$A,0)),"")</f>
        <v>BS</v>
      </c>
      <c r="G52" t="str">
        <f>IFERROR(INDEX(Mapping!$C:$C,MATCH($A52,Mapping!$A:$A,0)),"")</f>
        <v>Passifs courants</v>
      </c>
      <c r="H52" t="str">
        <f>IFERROR(INDEX(Mapping!$D:$D,MATCH($A52,Mapping!$A:$A,0)),"")</f>
        <v>Groupe / Associés</v>
      </c>
      <c r="I52" t="str">
        <f>IFERROR(INDEX(Mapping!$E:$E,MATCH($A52,Mapping!$A:$A,0)),"")</f>
        <v>Comptes groupe</v>
      </c>
      <c r="J52" t="str">
        <f>IFERROR(INDEX(Mapping!$F:$F,MATCH($A52,Mapping!$A:$A,0)),"")</f>
        <v>Comptes courants d'associés</v>
      </c>
    </row>
    <row r="53" spans="1:10" ht="14.25" customHeight="1">
      <c r="A53" t="s">
        <v>470</v>
      </c>
      <c r="B53" t="str">
        <f t="shared" si="1"/>
        <v>Lib compte 4553</v>
      </c>
      <c r="C53" s="88">
        <v>0</v>
      </c>
      <c r="D53" s="88">
        <v>0</v>
      </c>
      <c r="E53" s="88">
        <v>0</v>
      </c>
      <c r="F53" t="str">
        <f>IFERROR(INDEX(Mapping!$B:$B,MATCH($A53,Mapping!$A:$A,0)),"")</f>
        <v>BS</v>
      </c>
      <c r="G53" t="str">
        <f>IFERROR(INDEX(Mapping!$C:$C,MATCH($A53,Mapping!$A:$A,0)),"")</f>
        <v>Passifs courants</v>
      </c>
      <c r="H53" t="str">
        <f>IFERROR(INDEX(Mapping!$D:$D,MATCH($A53,Mapping!$A:$A,0)),"")</f>
        <v>Groupe / Associés</v>
      </c>
      <c r="I53" t="str">
        <f>IFERROR(INDEX(Mapping!$E:$E,MATCH($A53,Mapping!$A:$A,0)),"")</f>
        <v>Comptes groupe</v>
      </c>
      <c r="J53" t="str">
        <f>IFERROR(INDEX(Mapping!$F:$F,MATCH($A53,Mapping!$A:$A,0)),"")</f>
        <v>Comptes courants d'associés</v>
      </c>
    </row>
    <row r="54" spans="1:10" ht="14.25" customHeight="1">
      <c r="A54" t="s">
        <v>471</v>
      </c>
      <c r="B54" t="str">
        <f t="shared" si="1"/>
        <v>Lib compte 457</v>
      </c>
      <c r="C54" s="88">
        <v>0</v>
      </c>
      <c r="D54" s="88">
        <v>0</v>
      </c>
      <c r="E54" s="88">
        <v>0</v>
      </c>
      <c r="F54" t="str">
        <f>IFERROR(INDEX(Mapping!$B:$B,MATCH($A54,Mapping!$A:$A,0)),"")</f>
        <v>BS</v>
      </c>
      <c r="G54" t="str">
        <f>IFERROR(INDEX(Mapping!$C:$C,MATCH($A54,Mapping!$A:$A,0)),"")</f>
        <v>Passifs courants</v>
      </c>
      <c r="H54" t="str">
        <f>IFERROR(INDEX(Mapping!$D:$D,MATCH($A54,Mapping!$A:$A,0)),"")</f>
        <v>Groupe / Associés</v>
      </c>
      <c r="I54" t="str">
        <f>IFERROR(INDEX(Mapping!$E:$E,MATCH($A54,Mapping!$A:$A,0)),"")</f>
        <v>Comptes groupe</v>
      </c>
      <c r="J54" t="str">
        <f>IFERROR(INDEX(Mapping!$F:$F,MATCH($A54,Mapping!$A:$A,0)),"")</f>
        <v>Dividendes à payer</v>
      </c>
    </row>
    <row r="55" spans="1:10" ht="14.25" customHeight="1">
      <c r="A55" t="s">
        <v>473</v>
      </c>
      <c r="B55" t="str">
        <f t="shared" si="1"/>
        <v>Lib compte 4671</v>
      </c>
      <c r="C55" s="88">
        <v>0</v>
      </c>
      <c r="D55" s="88">
        <v>0</v>
      </c>
      <c r="E55" s="88">
        <v>0</v>
      </c>
      <c r="F55" t="str">
        <f>IFERROR(INDEX(Mapping!$B:$B,MATCH($A55,Mapping!$A:$A,0)),"")</f>
        <v>BS</v>
      </c>
      <c r="G55" t="str">
        <f>IFERROR(INDEX(Mapping!$C:$C,MATCH($A55,Mapping!$A:$A,0)),"")</f>
        <v>Actifs courants</v>
      </c>
      <c r="H55" t="str">
        <f>IFERROR(INDEX(Mapping!$D:$D,MATCH($A55,Mapping!$A:$A,0)),"")</f>
        <v>Autres créances</v>
      </c>
      <c r="I55" t="str">
        <f>IFERROR(INDEX(Mapping!$E:$E,MATCH($A55,Mapping!$A:$A,0)),"")</f>
        <v>Débiteurs divers</v>
      </c>
      <c r="J55" t="str">
        <f>IFERROR(INDEX(Mapping!$F:$F,MATCH($A55,Mapping!$A:$A,0)),"")</f>
        <v>Autres débiteurs</v>
      </c>
    </row>
    <row r="56" spans="1:10" ht="14.25" customHeight="1">
      <c r="A56" t="s">
        <v>475</v>
      </c>
      <c r="B56" t="str">
        <f t="shared" si="1"/>
        <v>Lib compte 4672</v>
      </c>
      <c r="C56" s="88">
        <v>0</v>
      </c>
      <c r="D56" s="88">
        <v>0</v>
      </c>
      <c r="E56" s="88">
        <v>0</v>
      </c>
      <c r="F56" t="str">
        <f>IFERROR(INDEX(Mapping!$B:$B,MATCH($A56,Mapping!$A:$A,0)),"")</f>
        <v>BS</v>
      </c>
      <c r="G56" t="str">
        <f>IFERROR(INDEX(Mapping!$C:$C,MATCH($A56,Mapping!$A:$A,0)),"")</f>
        <v>Actifs courants</v>
      </c>
      <c r="H56" t="str">
        <f>IFERROR(INDEX(Mapping!$D:$D,MATCH($A56,Mapping!$A:$A,0)),"")</f>
        <v>Dettes fournisseurs</v>
      </c>
      <c r="I56" t="str">
        <f>IFERROR(INDEX(Mapping!$E:$E,MATCH($A56,Mapping!$A:$A,0)),"")</f>
        <v>Fournisseurs</v>
      </c>
      <c r="J56" t="str">
        <f>IFERROR(INDEX(Mapping!$F:$F,MATCH($A56,Mapping!$A:$A,0)),"")</f>
        <v>Fournisseurs</v>
      </c>
    </row>
    <row r="57" spans="1:10" ht="14.25" customHeight="1">
      <c r="A57" t="s">
        <v>476</v>
      </c>
      <c r="B57" t="str">
        <f t="shared" si="1"/>
        <v>Lib compte 4687</v>
      </c>
      <c r="C57" s="88">
        <v>713.32619999999997</v>
      </c>
      <c r="D57" s="88">
        <v>1426.6523999999999</v>
      </c>
      <c r="E57" s="88">
        <v>1426.6523999999999</v>
      </c>
      <c r="F57" t="str">
        <f>IFERROR(INDEX(Mapping!$B:$B,MATCH($A57,Mapping!$A:$A,0)),"")</f>
        <v>BS</v>
      </c>
      <c r="G57" t="str">
        <f>IFERROR(INDEX(Mapping!$C:$C,MATCH($A57,Mapping!$A:$A,0)),"")</f>
        <v>Actifs courants</v>
      </c>
      <c r="H57" t="str">
        <f>IFERROR(INDEX(Mapping!$D:$D,MATCH($A57,Mapping!$A:$A,0)),"")</f>
        <v>Autres créances</v>
      </c>
      <c r="I57" t="str">
        <f>IFERROR(INDEX(Mapping!$E:$E,MATCH($A57,Mapping!$A:$A,0)),"")</f>
        <v>Débiteurs divers</v>
      </c>
      <c r="J57" t="str">
        <f>IFERROR(INDEX(Mapping!$F:$F,MATCH($A57,Mapping!$A:$A,0)),"")</f>
        <v>Autres créditeurs</v>
      </c>
    </row>
    <row r="58" spans="1:10" ht="14.25" customHeight="1">
      <c r="A58" t="s">
        <v>478</v>
      </c>
      <c r="B58" t="str">
        <f t="shared" si="1"/>
        <v>Lib compte 486</v>
      </c>
      <c r="C58" s="88">
        <v>2954.0988000000002</v>
      </c>
      <c r="D58" s="88">
        <v>1918.3495</v>
      </c>
      <c r="E58" s="88">
        <v>3729.8701999999998</v>
      </c>
      <c r="F58" t="str">
        <f>IFERROR(INDEX(Mapping!$B:$B,MATCH($A58,Mapping!$A:$A,0)),"")</f>
        <v>BS</v>
      </c>
      <c r="G58" t="str">
        <f>IFERROR(INDEX(Mapping!$C:$C,MATCH($A58,Mapping!$A:$A,0)),"")</f>
        <v>Actifs courants</v>
      </c>
      <c r="H58" t="str">
        <f>IFERROR(INDEX(Mapping!$D:$D,MATCH($A58,Mapping!$A:$A,0)),"")</f>
        <v>Charges constatées d'avance</v>
      </c>
      <c r="I58" t="str">
        <f>IFERROR(INDEX(Mapping!$E:$E,MATCH($A58,Mapping!$A:$A,0)),"")</f>
        <v>Charges à payer</v>
      </c>
      <c r="J58" t="str">
        <f>IFERROR(INDEX(Mapping!$F:$F,MATCH($A58,Mapping!$A:$A,0)),"")</f>
        <v>Charges constatées d'avance</v>
      </c>
    </row>
    <row r="59" spans="1:10" ht="14.25" customHeight="1">
      <c r="A59" t="s">
        <v>479</v>
      </c>
      <c r="B59" t="str">
        <f t="shared" si="1"/>
        <v>Lib compte 5121</v>
      </c>
      <c r="C59" s="88">
        <v>2178.8730999999998</v>
      </c>
      <c r="D59" s="88">
        <v>1123.8744999999999</v>
      </c>
      <c r="E59" s="88">
        <v>0</v>
      </c>
      <c r="F59" t="str">
        <f>IFERROR(INDEX(Mapping!$B:$B,MATCH($A59,Mapping!$A:$A,0)),"")</f>
        <v>BS</v>
      </c>
      <c r="G59" t="str">
        <f>IFERROR(INDEX(Mapping!$C:$C,MATCH($A59,Mapping!$A:$A,0)),"")</f>
        <v>Trésorerie</v>
      </c>
      <c r="H59" t="str">
        <f>IFERROR(INDEX(Mapping!$D:$D,MATCH($A59,Mapping!$A:$A,0)),"")</f>
        <v>Comptes bancaires</v>
      </c>
      <c r="I59" t="str">
        <f>IFERROR(INDEX(Mapping!$E:$E,MATCH($A59,Mapping!$A:$A,0)),"")</f>
        <v>Banque</v>
      </c>
      <c r="J59" t="str">
        <f>IFERROR(INDEX(Mapping!$F:$F,MATCH($A59,Mapping!$A:$A,0)),"")</f>
        <v>Comptes en euros</v>
      </c>
    </row>
    <row r="60" spans="1:10" ht="14.25" customHeight="1">
      <c r="A60" t="s">
        <v>481</v>
      </c>
      <c r="B60" t="str">
        <f t="shared" si="1"/>
        <v>Lib compte 5122</v>
      </c>
      <c r="C60" s="88">
        <v>0.214</v>
      </c>
      <c r="D60" s="88">
        <v>49220</v>
      </c>
      <c r="E60" s="88">
        <v>0</v>
      </c>
      <c r="F60" t="str">
        <f>IFERROR(INDEX(Mapping!$B:$B,MATCH($A60,Mapping!$A:$A,0)),"")</f>
        <v>BS</v>
      </c>
      <c r="G60" t="str">
        <f>IFERROR(INDEX(Mapping!$C:$C,MATCH($A60,Mapping!$A:$A,0)),"")</f>
        <v>Trésorerie</v>
      </c>
      <c r="H60" t="str">
        <f>IFERROR(INDEX(Mapping!$D:$D,MATCH($A60,Mapping!$A:$A,0)),"")</f>
        <v>Comptes bancaires</v>
      </c>
      <c r="I60" t="str">
        <f>IFERROR(INDEX(Mapping!$E:$E,MATCH($A60,Mapping!$A:$A,0)),"")</f>
        <v>Banque</v>
      </c>
      <c r="J60" t="str">
        <f>IFERROR(INDEX(Mapping!$F:$F,MATCH($A60,Mapping!$A:$A,0)),"")</f>
        <v>Comptes bancaires</v>
      </c>
    </row>
    <row r="61" spans="1:10" ht="14.25" customHeight="1">
      <c r="A61" t="s">
        <v>482</v>
      </c>
      <c r="B61" t="str">
        <f t="shared" si="1"/>
        <v>Lib compte 5123</v>
      </c>
      <c r="C61" s="88">
        <v>113005.86719999999</v>
      </c>
      <c r="D61" s="88">
        <v>76406.431599999996</v>
      </c>
      <c r="E61" s="88">
        <v>77278.214099999997</v>
      </c>
      <c r="F61" t="str">
        <f>IFERROR(INDEX(Mapping!$B:$B,MATCH($A61,Mapping!$A:$A,0)),"")</f>
        <v>BS</v>
      </c>
      <c r="G61" t="str">
        <f>IFERROR(INDEX(Mapping!$C:$C,MATCH($A61,Mapping!$A:$A,0)),"")</f>
        <v>Trésorerie</v>
      </c>
      <c r="H61" t="str">
        <f>IFERROR(INDEX(Mapping!$D:$D,MATCH($A61,Mapping!$A:$A,0)),"")</f>
        <v>Comptes bancaires</v>
      </c>
      <c r="I61" t="str">
        <f>IFERROR(INDEX(Mapping!$E:$E,MATCH($A61,Mapping!$A:$A,0)),"")</f>
        <v>Banque</v>
      </c>
      <c r="J61" t="str">
        <f>IFERROR(INDEX(Mapping!$F:$F,MATCH($A61,Mapping!$A:$A,0)),"")</f>
        <v>Comptes bancaires</v>
      </c>
    </row>
    <row r="62" spans="1:10" ht="14.25" customHeight="1">
      <c r="A62" t="s">
        <v>483</v>
      </c>
      <c r="B62" t="str">
        <f t="shared" si="1"/>
        <v>Lib compte 580</v>
      </c>
      <c r="C62" s="88">
        <v>0</v>
      </c>
      <c r="D62" s="88">
        <v>0</v>
      </c>
      <c r="E62" s="88">
        <v>0</v>
      </c>
      <c r="F62" t="str">
        <f>IFERROR(INDEX(Mapping!$B:$B,MATCH($A62,Mapping!$A:$A,0)),"")</f>
        <v>BS</v>
      </c>
      <c r="G62" t="str">
        <f>IFERROR(INDEX(Mapping!$C:$C,MATCH($A62,Mapping!$A:$A,0)),"")</f>
        <v>Trésorerie</v>
      </c>
      <c r="H62" t="str">
        <f>IFERROR(INDEX(Mapping!$D:$D,MATCH($A62,Mapping!$A:$A,0)),"")</f>
        <v>Transferts internes</v>
      </c>
      <c r="I62" t="str">
        <f>IFERROR(INDEX(Mapping!$E:$E,MATCH($A62,Mapping!$A:$A,0)),"")</f>
        <v>Virements de trésorerie</v>
      </c>
      <c r="J62" t="str">
        <f>IFERROR(INDEX(Mapping!$F:$F,MATCH($A62,Mapping!$A:$A,0)),"")</f>
        <v>Transferts internes</v>
      </c>
    </row>
    <row r="63" spans="1:10" ht="14.25" customHeight="1">
      <c r="A63" t="s">
        <v>486</v>
      </c>
      <c r="B63" t="str">
        <f t="shared" si="1"/>
        <v>Lib compte 601</v>
      </c>
      <c r="C63" s="88">
        <v>12755.041999999999</v>
      </c>
      <c r="D63" s="88">
        <v>4404.7619999999997</v>
      </c>
      <c r="E63" s="88">
        <v>17669.124</v>
      </c>
      <c r="F63" t="str">
        <f>IFERROR(INDEX(Mapping!$B:$B,MATCH($A63,Mapping!$A:$A,0)),"")</f>
        <v>PL</v>
      </c>
      <c r="G63" t="str">
        <f>IFERROR(INDEX(Mapping!$C:$C,MATCH($A63,Mapping!$A:$A,0)),"")</f>
        <v>EBITDA</v>
      </c>
      <c r="H63" t="str">
        <f>IFERROR(INDEX(Mapping!$D:$D,MATCH($A63,Mapping!$A:$A,0)),"")</f>
        <v>Coût des marchandises vendues</v>
      </c>
      <c r="I63" t="str">
        <f>IFERROR(INDEX(Mapping!$E:$E,MATCH($A63,Mapping!$A:$A,0)),"")</f>
        <v>Charges hors personnel</v>
      </c>
      <c r="J63" t="str">
        <f>IFERROR(INDEX(Mapping!$F:$F,MATCH($A63,Mapping!$A:$A,0)),"")</f>
        <v>Achat de matières premières</v>
      </c>
    </row>
    <row r="64" spans="1:10" ht="14.25" customHeight="1">
      <c r="A64" t="s">
        <v>487</v>
      </c>
      <c r="B64" t="str">
        <f t="shared" si="1"/>
        <v>Lib compte 6031</v>
      </c>
      <c r="C64" s="88">
        <v>-4171.8872000000001</v>
      </c>
      <c r="D64" s="88">
        <v>4433.7803999999996</v>
      </c>
      <c r="E64" s="88">
        <v>-4341.9957999999997</v>
      </c>
      <c r="F64" t="str">
        <f>IFERROR(INDEX(Mapping!$B:$B,MATCH($A64,Mapping!$A:$A,0)),"")</f>
        <v>PL</v>
      </c>
      <c r="G64" t="str">
        <f>IFERROR(INDEX(Mapping!$C:$C,MATCH($A64,Mapping!$A:$A,0)),"")</f>
        <v>EBITDA</v>
      </c>
      <c r="H64" t="str">
        <f>IFERROR(INDEX(Mapping!$D:$D,MATCH($A64,Mapping!$A:$A,0)),"")</f>
        <v>Coût des marchandises vendues</v>
      </c>
      <c r="I64" t="str">
        <f>IFERROR(INDEX(Mapping!$E:$E,MATCH($A64,Mapping!$A:$A,0)),"")</f>
        <v>Charges hors personnel</v>
      </c>
      <c r="J64" t="str">
        <f>IFERROR(INDEX(Mapping!$F:$F,MATCH($A64,Mapping!$A:$A,0)),"")</f>
        <v>Variation des stocks de matières premières</v>
      </c>
    </row>
    <row r="65" spans="1:10" ht="14.25" customHeight="1">
      <c r="A65" t="s">
        <v>488</v>
      </c>
      <c r="B65" t="str">
        <f t="shared" si="1"/>
        <v>Lib compte 604</v>
      </c>
      <c r="C65" s="88">
        <v>9910.875</v>
      </c>
      <c r="D65" s="88">
        <v>7274.93</v>
      </c>
      <c r="E65" s="88">
        <v>14566.98</v>
      </c>
      <c r="F65" t="str">
        <f>IFERROR(INDEX(Mapping!$B:$B,MATCH($A65,Mapping!$A:$A,0)),"")</f>
        <v>PL</v>
      </c>
      <c r="G65" t="str">
        <f>IFERROR(INDEX(Mapping!$C:$C,MATCH($A65,Mapping!$A:$A,0)),"")</f>
        <v>EBITDA</v>
      </c>
      <c r="H65" t="str">
        <f>IFERROR(INDEX(Mapping!$D:$D,MATCH($A65,Mapping!$A:$A,0)),"")</f>
        <v>Coût des marchandises vendues</v>
      </c>
      <c r="I65" t="str">
        <f>IFERROR(INDEX(Mapping!$E:$E,MATCH($A65,Mapping!$A:$A,0)),"")</f>
        <v>Sous-traitance</v>
      </c>
      <c r="J65" t="str">
        <f>IFERROR(INDEX(Mapping!$F:$F,MATCH($A65,Mapping!$A:$A,0)),"")</f>
        <v>Coûts de sous-traitance</v>
      </c>
    </row>
    <row r="66" spans="1:10" ht="14.25" customHeight="1">
      <c r="A66" t="s">
        <v>489</v>
      </c>
      <c r="B66" t="str">
        <f t="shared" ref="B66:B97" si="2">"Lib compte "&amp;A66</f>
        <v>Lib compte 6063</v>
      </c>
      <c r="C66" s="88">
        <v>602.06759999999997</v>
      </c>
      <c r="D66" s="88">
        <v>223.2234</v>
      </c>
      <c r="E66" s="88">
        <v>290.82600000000002</v>
      </c>
      <c r="F66" t="str">
        <f>IFERROR(INDEX(Mapping!$B:$B,MATCH($A66,Mapping!$A:$A,0)),"")</f>
        <v>PL</v>
      </c>
      <c r="G66" t="str">
        <f>IFERROR(INDEX(Mapping!$C:$C,MATCH($A66,Mapping!$A:$A,0)),"")</f>
        <v>EBITDA</v>
      </c>
      <c r="H66" t="str">
        <f>IFERROR(INDEX(Mapping!$D:$D,MATCH($A66,Mapping!$A:$A,0)),"")</f>
        <v>Coût des marchandises vendues</v>
      </c>
      <c r="I66" t="str">
        <f>IFERROR(INDEX(Mapping!$E:$E,MATCH($A66,Mapping!$A:$A,0)),"")</f>
        <v>Charges hors personnel</v>
      </c>
      <c r="J66" t="str">
        <f>IFERROR(INDEX(Mapping!$F:$F,MATCH($A66,Mapping!$A:$A,0)),"")</f>
        <v>Fournitures d'entretien</v>
      </c>
    </row>
    <row r="67" spans="1:10" ht="14.25" customHeight="1">
      <c r="A67" t="s">
        <v>490</v>
      </c>
      <c r="B67" t="str">
        <f t="shared" si="2"/>
        <v>Lib compte 6064</v>
      </c>
      <c r="C67" s="88">
        <v>2582.98</v>
      </c>
      <c r="D67" s="88">
        <v>854.72670000000005</v>
      </c>
      <c r="E67" s="88">
        <v>2557.5140000000001</v>
      </c>
      <c r="F67" t="str">
        <f>IFERROR(INDEX(Mapping!$B:$B,MATCH($A67,Mapping!$A:$A,0)),"")</f>
        <v>PL</v>
      </c>
      <c r="G67" t="str">
        <f>IFERROR(INDEX(Mapping!$C:$C,MATCH($A67,Mapping!$A:$A,0)),"")</f>
        <v>EBITDA</v>
      </c>
      <c r="H67" t="str">
        <f>IFERROR(INDEX(Mapping!$D:$D,MATCH($A67,Mapping!$A:$A,0)),"")</f>
        <v>Frais généraux</v>
      </c>
      <c r="I67" t="str">
        <f>IFERROR(INDEX(Mapping!$E:$E,MATCH($A67,Mapping!$A:$A,0)),"")</f>
        <v>Charges hors personnel</v>
      </c>
      <c r="J67" t="str">
        <f>IFERROR(INDEX(Mapping!$F:$F,MATCH($A67,Mapping!$A:$A,0)),"")</f>
        <v>Énergie &amp; Fluides</v>
      </c>
    </row>
    <row r="68" spans="1:10" ht="14.25" customHeight="1">
      <c r="A68" t="s">
        <v>491</v>
      </c>
      <c r="B68" t="str">
        <f t="shared" si="2"/>
        <v>Lib compte 606401</v>
      </c>
      <c r="C68" s="88">
        <v>0</v>
      </c>
      <c r="D68" s="88">
        <v>0</v>
      </c>
      <c r="E68" s="88">
        <v>246.16419999999999</v>
      </c>
      <c r="F68" t="str">
        <f>IFERROR(INDEX(Mapping!$B:$B,MATCH($A68,Mapping!$A:$A,0)),"")</f>
        <v>PL</v>
      </c>
      <c r="G68" t="str">
        <f>IFERROR(INDEX(Mapping!$C:$C,MATCH($A68,Mapping!$A:$A,0)),"")</f>
        <v>EBITDA</v>
      </c>
      <c r="H68" t="str">
        <f>IFERROR(INDEX(Mapping!$D:$D,MATCH($A68,Mapping!$A:$A,0)),"")</f>
        <v>Coût des marchandises vendues</v>
      </c>
      <c r="I68" t="str">
        <f>IFERROR(INDEX(Mapping!$E:$E,MATCH($A68,Mapping!$A:$A,0)),"")</f>
        <v>Charges hors personnel</v>
      </c>
      <c r="J68" t="s">
        <v>59</v>
      </c>
    </row>
    <row r="69" spans="1:10" ht="14.25" customHeight="1">
      <c r="A69" s="89" t="s">
        <v>493</v>
      </c>
      <c r="B69" t="str">
        <f t="shared" si="2"/>
        <v>Lib compte 611</v>
      </c>
      <c r="C69" s="88">
        <v>699.8442</v>
      </c>
      <c r="D69" s="88">
        <v>641.67899999999997</v>
      </c>
      <c r="E69" s="88">
        <v>630.55100000000004</v>
      </c>
      <c r="F69" t="str">
        <f>IFERROR(INDEX(Mapping!$B:$B,MATCH($A69,Mapping!$A:$A,0)),"")</f>
        <v>PL</v>
      </c>
      <c r="G69" t="str">
        <f>IFERROR(INDEX(Mapping!$C:$C,MATCH($A69,Mapping!$A:$A,0)),"")</f>
        <v>EBITDA</v>
      </c>
      <c r="H69" t="str">
        <f>IFERROR(INDEX(Mapping!$D:$D,MATCH($A69,Mapping!$A:$A,0)),"")</f>
        <v>Frais généraux</v>
      </c>
      <c r="I69" t="str">
        <f>IFERROR(INDEX(Mapping!$E:$E,MATCH($A69,Mapping!$A:$A,0)),"")</f>
        <v>Sous-traitance</v>
      </c>
      <c r="J69" t="str">
        <f>IFERROR(INDEX(Mapping!$F:$F,MATCH($A69,Mapping!$A:$A,0)),"")</f>
        <v>Services exploités pour compte propre</v>
      </c>
    </row>
    <row r="70" spans="1:10" ht="14.25" customHeight="1">
      <c r="A70" t="s">
        <v>494</v>
      </c>
      <c r="B70" t="str">
        <f t="shared" si="2"/>
        <v>Lib compte 6132</v>
      </c>
      <c r="C70" s="88">
        <v>8624.2000000000007</v>
      </c>
      <c r="D70" s="88">
        <v>7405.47</v>
      </c>
      <c r="E70" s="88">
        <v>12303.2345</v>
      </c>
      <c r="F70" t="str">
        <f>IFERROR(INDEX(Mapping!$B:$B,MATCH($A70,Mapping!$A:$A,0)),"")</f>
        <v>PL</v>
      </c>
      <c r="G70" t="str">
        <f>IFERROR(INDEX(Mapping!$C:$C,MATCH($A70,Mapping!$A:$A,0)),"")</f>
        <v>EBITDA</v>
      </c>
      <c r="H70" t="str">
        <f>IFERROR(INDEX(Mapping!$D:$D,MATCH($A70,Mapping!$A:$A,0)),"")</f>
        <v>Frais généraux</v>
      </c>
      <c r="I70" t="str">
        <f>IFERROR(INDEX(Mapping!$E:$E,MATCH($A70,Mapping!$A:$A,0)),"")</f>
        <v>Charges hors personnel</v>
      </c>
      <c r="J70" t="str">
        <f>IFERROR(INDEX(Mapping!$F:$F,MATCH($A70,Mapping!$A:$A,0)),"")</f>
        <v>Loyer immobilier</v>
      </c>
    </row>
    <row r="71" spans="1:10" ht="14.25" customHeight="1">
      <c r="A71" t="s">
        <v>495</v>
      </c>
      <c r="B71" t="str">
        <f t="shared" si="2"/>
        <v>Lib compte 6133</v>
      </c>
      <c r="C71" s="88">
        <v>3722.7761</v>
      </c>
      <c r="D71" s="88">
        <v>3099.1052</v>
      </c>
      <c r="E71" s="88">
        <v>2131.7075</v>
      </c>
      <c r="F71" t="str">
        <f>IFERROR(INDEX(Mapping!$B:$B,MATCH($A71,Mapping!$A:$A,0)),"")</f>
        <v>PL</v>
      </c>
      <c r="G71" t="str">
        <f>IFERROR(INDEX(Mapping!$C:$C,MATCH($A71,Mapping!$A:$A,0)),"")</f>
        <v>EBITDA</v>
      </c>
      <c r="H71" t="str">
        <f>IFERROR(INDEX(Mapping!$D:$D,MATCH($A71,Mapping!$A:$A,0)),"")</f>
        <v>Frais généraux</v>
      </c>
      <c r="I71" t="str">
        <f>IFERROR(INDEX(Mapping!$E:$E,MATCH($A71,Mapping!$A:$A,0)),"")</f>
        <v>Charges hors personnel</v>
      </c>
      <c r="J71" t="str">
        <f>IFERROR(INDEX(Mapping!$F:$F,MATCH($A71,Mapping!$A:$A,0)),"")</f>
        <v>Loyer</v>
      </c>
    </row>
    <row r="72" spans="1:10" ht="14.25" customHeight="1">
      <c r="A72" t="s">
        <v>496</v>
      </c>
      <c r="B72" t="str">
        <f t="shared" si="2"/>
        <v>Lib compte 613301</v>
      </c>
      <c r="C72" s="88">
        <v>0</v>
      </c>
      <c r="D72" s="88">
        <v>0</v>
      </c>
      <c r="E72" s="88">
        <v>71.2834</v>
      </c>
      <c r="F72" t="str">
        <f>IFERROR(INDEX(Mapping!$B:$B,MATCH($A72,Mapping!$A:$A,0)),"")</f>
        <v>PL</v>
      </c>
      <c r="G72" t="str">
        <f>IFERROR(INDEX(Mapping!$C:$C,MATCH($A72,Mapping!$A:$A,0)),"")</f>
        <v>EBITDA</v>
      </c>
      <c r="H72" t="str">
        <f>IFERROR(INDEX(Mapping!$D:$D,MATCH($A72,Mapping!$A:$A,0)),"")</f>
        <v>Frais généraux</v>
      </c>
      <c r="I72" t="str">
        <f>IFERROR(INDEX(Mapping!$E:$E,MATCH($A72,Mapping!$A:$A,0)),"")</f>
        <v>Charges hors personnel</v>
      </c>
      <c r="J72" t="str">
        <f>IFERROR(INDEX(Mapping!$F:$F,MATCH($A72,Mapping!$A:$A,0)),"")</f>
        <v>Loyer</v>
      </c>
    </row>
    <row r="73" spans="1:10" ht="14.25" customHeight="1">
      <c r="A73" t="s">
        <v>497</v>
      </c>
      <c r="B73" t="str">
        <f t="shared" si="2"/>
        <v>Lib compte 6135</v>
      </c>
      <c r="C73" s="88">
        <v>29.425000000000001</v>
      </c>
      <c r="D73" s="88">
        <v>53.5</v>
      </c>
      <c r="E73" s="88">
        <v>1417.9854</v>
      </c>
      <c r="F73" t="str">
        <f>IFERROR(INDEX(Mapping!$B:$B,MATCH($A73,Mapping!$A:$A,0)),"")</f>
        <v>PL</v>
      </c>
      <c r="G73" t="str">
        <f>IFERROR(INDEX(Mapping!$C:$C,MATCH($A73,Mapping!$A:$A,0)),"")</f>
        <v>EBITDA</v>
      </c>
      <c r="H73" t="str">
        <f>IFERROR(INDEX(Mapping!$D:$D,MATCH($A73,Mapping!$A:$A,0)),"")</f>
        <v>Frais généraux</v>
      </c>
      <c r="I73" t="str">
        <f>IFERROR(INDEX(Mapping!$E:$E,MATCH($A73,Mapping!$A:$A,0)),"")</f>
        <v>Charges hors personnel</v>
      </c>
      <c r="J73" t="str">
        <f>IFERROR(INDEX(Mapping!$F:$F,MATCH($A73,Mapping!$A:$A,0)),"")</f>
        <v>Loyer de matériel</v>
      </c>
    </row>
    <row r="74" spans="1:10" ht="14.25" customHeight="1">
      <c r="A74" t="s">
        <v>498</v>
      </c>
      <c r="B74" t="str">
        <f t="shared" si="2"/>
        <v>Lib compte 613501</v>
      </c>
      <c r="C74" s="88">
        <v>0</v>
      </c>
      <c r="D74" s="88">
        <v>0</v>
      </c>
      <c r="E74" s="88">
        <v>904.49239999999998</v>
      </c>
      <c r="F74" t="str">
        <f>IFERROR(INDEX(Mapping!$B:$B,MATCH($A74,Mapping!$A:$A,0)),"")</f>
        <v>PL</v>
      </c>
      <c r="G74" t="str">
        <f>IFERROR(INDEX(Mapping!$C:$C,MATCH($A74,Mapping!$A:$A,0)),"")</f>
        <v>EBITDA</v>
      </c>
      <c r="H74" t="str">
        <f>IFERROR(INDEX(Mapping!$D:$D,MATCH($A74,Mapping!$A:$A,0)),"")</f>
        <v>Frais généraux</v>
      </c>
      <c r="I74" t="str">
        <f>IFERROR(INDEX(Mapping!$E:$E,MATCH($A74,Mapping!$A:$A,0)),"")</f>
        <v>Charges hors personnel</v>
      </c>
      <c r="J74" t="str">
        <f>IFERROR(INDEX(Mapping!$F:$F,MATCH($A74,Mapping!$A:$A,0)),"")</f>
        <v>Loyer de matériel</v>
      </c>
    </row>
    <row r="75" spans="1:10" ht="14.25" customHeight="1">
      <c r="A75" t="s">
        <v>499</v>
      </c>
      <c r="B75" t="str">
        <f t="shared" si="2"/>
        <v>Lib compte 6136</v>
      </c>
      <c r="C75" s="88">
        <v>7381.6839</v>
      </c>
      <c r="D75" s="88">
        <v>7213.9934999999996</v>
      </c>
      <c r="E75" s="88">
        <v>7976.6145999999999</v>
      </c>
      <c r="F75" t="str">
        <f>IFERROR(INDEX(Mapping!$B:$B,MATCH($A75,Mapping!$A:$A,0)),"")</f>
        <v>PL</v>
      </c>
      <c r="G75" t="str">
        <f>IFERROR(INDEX(Mapping!$C:$C,MATCH($A75,Mapping!$A:$A,0)),"")</f>
        <v>EBITDA</v>
      </c>
      <c r="H75" t="str">
        <f>IFERROR(INDEX(Mapping!$D:$D,MATCH($A75,Mapping!$A:$A,0)),"")</f>
        <v>Frais généraux</v>
      </c>
      <c r="I75" t="str">
        <f>IFERROR(INDEX(Mapping!$E:$E,MATCH($A75,Mapping!$A:$A,0)),"")</f>
        <v>Charges hors personnel</v>
      </c>
      <c r="J75" t="str">
        <f>IFERROR(INDEX(Mapping!$F:$F,MATCH($A75,Mapping!$A:$A,0)),"")</f>
        <v>Loyer</v>
      </c>
    </row>
    <row r="76" spans="1:10" ht="14.25" customHeight="1">
      <c r="A76" t="s">
        <v>500</v>
      </c>
      <c r="B76" t="str">
        <f t="shared" si="2"/>
        <v>Lib compte 6156</v>
      </c>
      <c r="C76" s="88">
        <v>25513.615000000002</v>
      </c>
      <c r="D76" s="88">
        <v>26471.264999999999</v>
      </c>
      <c r="E76" s="88">
        <v>32356.799999999999</v>
      </c>
      <c r="F76" t="str">
        <f>IFERROR(INDEX(Mapping!$B:$B,MATCH($A76,Mapping!$A:$A,0)),"")</f>
        <v>PL</v>
      </c>
      <c r="G76" t="str">
        <f>IFERROR(INDEX(Mapping!$C:$C,MATCH($A76,Mapping!$A:$A,0)),"")</f>
        <v>EBITDA</v>
      </c>
      <c r="H76" t="str">
        <f>IFERROR(INDEX(Mapping!$D:$D,MATCH($A76,Mapping!$A:$A,0)),"")</f>
        <v>Frais généraux</v>
      </c>
      <c r="I76" t="str">
        <f>IFERROR(INDEX(Mapping!$E:$E,MATCH($A76,Mapping!$A:$A,0)),"")</f>
        <v>Charges hors personnel</v>
      </c>
      <c r="J76" t="str">
        <f>IFERROR(INDEX(Mapping!$F:$F,MATCH($A76,Mapping!$A:$A,0)),"")</f>
        <v>Entretien &amp; Réparations</v>
      </c>
    </row>
    <row r="77" spans="1:10" ht="14.25" customHeight="1">
      <c r="A77" t="s">
        <v>501</v>
      </c>
      <c r="B77" t="str">
        <f t="shared" si="2"/>
        <v>Lib compte 6161</v>
      </c>
      <c r="C77" s="88">
        <v>567.89179999999999</v>
      </c>
      <c r="D77" s="88">
        <v>837.27499999999998</v>
      </c>
      <c r="E77" s="88">
        <v>1037.1510000000001</v>
      </c>
      <c r="F77" t="str">
        <f>IFERROR(INDEX(Mapping!$B:$B,MATCH($A77,Mapping!$A:$A,0)),"")</f>
        <v>PL</v>
      </c>
      <c r="G77" t="str">
        <f>IFERROR(INDEX(Mapping!$C:$C,MATCH($A77,Mapping!$A:$A,0)),"")</f>
        <v>EBITDA</v>
      </c>
      <c r="H77" t="str">
        <f>IFERROR(INDEX(Mapping!$D:$D,MATCH($A77,Mapping!$A:$A,0)),"")</f>
        <v>Frais généraux</v>
      </c>
      <c r="I77" t="str">
        <f>IFERROR(INDEX(Mapping!$E:$E,MATCH($A77,Mapping!$A:$A,0)),"")</f>
        <v>Charges hors personnel</v>
      </c>
      <c r="J77" t="str">
        <f>IFERROR(INDEX(Mapping!$F:$F,MATCH($A77,Mapping!$A:$A,0)),"")</f>
        <v>Primes d'assurance</v>
      </c>
    </row>
    <row r="78" spans="1:10" ht="14.25" customHeight="1">
      <c r="A78" t="s">
        <v>502</v>
      </c>
      <c r="B78" t="str">
        <f t="shared" si="2"/>
        <v>Lib compte 6181</v>
      </c>
      <c r="C78" s="88">
        <v>0</v>
      </c>
      <c r="D78" s="88">
        <v>0</v>
      </c>
      <c r="E78" s="88">
        <v>194.2157</v>
      </c>
      <c r="F78" t="str">
        <f>IFERROR(INDEX(Mapping!$B:$B,MATCH($A78,Mapping!$A:$A,0)),"")</f>
        <v>PL</v>
      </c>
      <c r="G78" t="str">
        <f>IFERROR(INDEX(Mapping!$C:$C,MATCH($A78,Mapping!$A:$A,0)),"")</f>
        <v>EBITDA</v>
      </c>
      <c r="H78" t="str">
        <f>IFERROR(INDEX(Mapping!$D:$D,MATCH($A78,Mapping!$A:$A,0)),"")</f>
        <v>Frais généraux</v>
      </c>
      <c r="I78" t="str">
        <f>IFERROR(INDEX(Mapping!$E:$E,MATCH($A78,Mapping!$A:$A,0)),"")</f>
        <v>Charges hors personnel</v>
      </c>
      <c r="J78" t="str">
        <f>IFERROR(INDEX(Mapping!$F:$F,MATCH($A78,Mapping!$A:$A,0)),"")</f>
        <v>Documentation générale</v>
      </c>
    </row>
    <row r="79" spans="1:10" ht="14.25" customHeight="1">
      <c r="A79" t="s">
        <v>503</v>
      </c>
      <c r="B79" t="str">
        <f t="shared" si="2"/>
        <v>Lib compte 6185</v>
      </c>
      <c r="C79" s="88">
        <v>120.375</v>
      </c>
      <c r="D79" s="88">
        <v>133.75</v>
      </c>
      <c r="E79" s="88">
        <v>84.7119</v>
      </c>
      <c r="F79" t="str">
        <f>IFERROR(INDEX(Mapping!$B:$B,MATCH($A79,Mapping!$A:$A,0)),"")</f>
        <v>PL</v>
      </c>
      <c r="G79" t="str">
        <f>IFERROR(INDEX(Mapping!$C:$C,MATCH($A79,Mapping!$A:$A,0)),"")</f>
        <v>EBITDA</v>
      </c>
      <c r="H79" t="str">
        <f>IFERROR(INDEX(Mapping!$D:$D,MATCH($A79,Mapping!$A:$A,0)),"")</f>
        <v>Frais généraux</v>
      </c>
      <c r="I79" t="str">
        <f>IFERROR(INDEX(Mapping!$E:$E,MATCH($A79,Mapping!$A:$A,0)),"")</f>
        <v>Charges hors personnel</v>
      </c>
      <c r="J79" t="str">
        <f>IFERROR(INDEX(Mapping!$F:$F,MATCH($A79,Mapping!$A:$A,0)),"")</f>
        <v>Divers</v>
      </c>
    </row>
    <row r="80" spans="1:10" ht="14.25" customHeight="1">
      <c r="A80" t="s">
        <v>504</v>
      </c>
      <c r="B80" t="str">
        <f t="shared" si="2"/>
        <v>Lib compte 622</v>
      </c>
      <c r="C80" s="88">
        <v>2531.085</v>
      </c>
      <c r="D80" s="88">
        <v>3071.4349999999999</v>
      </c>
      <c r="E80" s="88">
        <v>3211.1770000000001</v>
      </c>
      <c r="F80" t="str">
        <f>IFERROR(INDEX(Mapping!$B:$B,MATCH($A80,Mapping!$A:$A,0)),"")</f>
        <v>PL</v>
      </c>
      <c r="G80" t="str">
        <f>IFERROR(INDEX(Mapping!$C:$C,MATCH($A80,Mapping!$A:$A,0)),"")</f>
        <v>EBITDA</v>
      </c>
      <c r="H80" t="str">
        <f>IFERROR(INDEX(Mapping!$D:$D,MATCH($A80,Mapping!$A:$A,0)),"")</f>
        <v>Ventes &amp; Marketing</v>
      </c>
      <c r="I80" t="str">
        <f>IFERROR(INDEX(Mapping!$E:$E,MATCH($A80,Mapping!$A:$A,0)),"")</f>
        <v>Charges hors personnel</v>
      </c>
      <c r="J80" t="str">
        <f>IFERROR(INDEX(Mapping!$F:$F,MATCH($A80,Mapping!$A:$A,0)),"")</f>
        <v>Déplacements &amp; Missions</v>
      </c>
    </row>
    <row r="81" spans="1:10" ht="14.25" customHeight="1">
      <c r="A81" t="s">
        <v>505</v>
      </c>
      <c r="B81" t="str">
        <f t="shared" si="2"/>
        <v>Lib compte 6226</v>
      </c>
      <c r="C81" s="88">
        <v>98205.252699999997</v>
      </c>
      <c r="D81" s="88">
        <v>158780.51</v>
      </c>
      <c r="E81" s="88">
        <v>173340</v>
      </c>
      <c r="F81" t="str">
        <f>IFERROR(INDEX(Mapping!$B:$B,MATCH($A81,Mapping!$A:$A,0)),"")</f>
        <v>PL</v>
      </c>
      <c r="G81" t="str">
        <f>IFERROR(INDEX(Mapping!$C:$C,MATCH($A81,Mapping!$A:$A,0)),"")</f>
        <v>EBITDA</v>
      </c>
      <c r="H81" t="str">
        <f>IFERROR(INDEX(Mapping!$D:$D,MATCH($A81,Mapping!$A:$A,0)),"")</f>
        <v>Frais généraux</v>
      </c>
      <c r="I81" t="str">
        <f>IFERROR(INDEX(Mapping!$E:$E,MATCH($A81,Mapping!$A:$A,0)),"")</f>
        <v>Charges hors personnel</v>
      </c>
      <c r="J81" t="str">
        <f>IFERROR(INDEX(Mapping!$F:$F,MATCH($A81,Mapping!$A:$A,0)),"")</f>
        <v>Honoraires professionnels</v>
      </c>
    </row>
    <row r="82" spans="1:10" ht="14.25" customHeight="1">
      <c r="A82" t="s">
        <v>506</v>
      </c>
      <c r="B82" t="str">
        <f t="shared" si="2"/>
        <v>Lib compte 622601</v>
      </c>
      <c r="C82" s="88">
        <v>0</v>
      </c>
      <c r="D82" s="88">
        <v>0</v>
      </c>
      <c r="E82" s="88">
        <v>6619.02</v>
      </c>
      <c r="F82" t="str">
        <f>IFERROR(INDEX(Mapping!$B:$B,MATCH($A82,Mapping!$A:$A,0)),"")</f>
        <v>PL</v>
      </c>
      <c r="G82" t="str">
        <f>IFERROR(INDEX(Mapping!$C:$C,MATCH($A82,Mapping!$A:$A,0)),"")</f>
        <v>EBITDA</v>
      </c>
      <c r="H82" t="str">
        <f>IFERROR(INDEX(Mapping!$D:$D,MATCH($A82,Mapping!$A:$A,0)),"")</f>
        <v>Frais généraux</v>
      </c>
      <c r="I82" t="str">
        <f>IFERROR(INDEX(Mapping!$E:$E,MATCH($A82,Mapping!$A:$A,0)),"")</f>
        <v>Charges hors personnel</v>
      </c>
      <c r="J82" t="str">
        <f>IFERROR(INDEX(Mapping!$F:$F,MATCH($A82,Mapping!$A:$A,0)),"")</f>
        <v>Honoraires professionnels</v>
      </c>
    </row>
    <row r="83" spans="1:10" ht="14.25" customHeight="1">
      <c r="A83" t="s">
        <v>507</v>
      </c>
      <c r="B83" t="str">
        <f t="shared" si="2"/>
        <v>Lib compte 62261</v>
      </c>
      <c r="C83" s="88">
        <v>535</v>
      </c>
      <c r="D83" s="88">
        <v>727.6</v>
      </c>
      <c r="E83" s="88">
        <v>3566.2458000000001</v>
      </c>
      <c r="F83" t="str">
        <f>IFERROR(INDEX(Mapping!$B:$B,MATCH($A83,Mapping!$A:$A,0)),"")</f>
        <v>PL</v>
      </c>
      <c r="G83" t="str">
        <f>IFERROR(INDEX(Mapping!$C:$C,MATCH($A83,Mapping!$A:$A,0)),"")</f>
        <v>EBITDA</v>
      </c>
      <c r="H83" t="str">
        <f>IFERROR(INDEX(Mapping!$D:$D,MATCH($A83,Mapping!$A:$A,0)),"")</f>
        <v>Frais généraux</v>
      </c>
      <c r="I83" t="str">
        <f>IFERROR(INDEX(Mapping!$E:$E,MATCH($A83,Mapping!$A:$A,0)),"")</f>
        <v>Charges hors personnel</v>
      </c>
      <c r="J83" t="str">
        <f>IFERROR(INDEX(Mapping!$F:$F,MATCH($A83,Mapping!$A:$A,0)),"")</f>
        <v>Honoraires professionnels</v>
      </c>
    </row>
    <row r="84" spans="1:10" ht="14.25" customHeight="1">
      <c r="A84" t="s">
        <v>508</v>
      </c>
      <c r="B84" t="str">
        <f t="shared" si="2"/>
        <v>Lib compte 62263</v>
      </c>
      <c r="C84" s="88">
        <v>115.56</v>
      </c>
      <c r="D84" s="88">
        <v>115.56</v>
      </c>
      <c r="E84" s="88">
        <v>9.6300000000000008</v>
      </c>
      <c r="F84" t="str">
        <f>IFERROR(INDEX(Mapping!$B:$B,MATCH($A84,Mapping!$A:$A,0)),"")</f>
        <v>PL</v>
      </c>
      <c r="G84" t="str">
        <f>IFERROR(INDEX(Mapping!$C:$C,MATCH($A84,Mapping!$A:$A,0)),"")</f>
        <v>EBITDA</v>
      </c>
      <c r="H84" t="str">
        <f>IFERROR(INDEX(Mapping!$D:$D,MATCH($A84,Mapping!$A:$A,0)),"")</f>
        <v>Frais généraux</v>
      </c>
      <c r="I84" t="str">
        <f>IFERROR(INDEX(Mapping!$E:$E,MATCH($A84,Mapping!$A:$A,0)),"")</f>
        <v>Charges hors personnel</v>
      </c>
      <c r="J84" t="str">
        <f>IFERROR(INDEX(Mapping!$F:$F,MATCH($A84,Mapping!$A:$A,0)),"")</f>
        <v>Honoraires professionnels</v>
      </c>
    </row>
    <row r="85" spans="1:10" ht="14.25" customHeight="1">
      <c r="A85" t="s">
        <v>509</v>
      </c>
      <c r="B85" t="str">
        <f t="shared" si="2"/>
        <v>Lib compte 6227</v>
      </c>
      <c r="C85" s="88">
        <v>53.039900000000003</v>
      </c>
      <c r="D85" s="88">
        <v>52.3444</v>
      </c>
      <c r="E85" s="88">
        <v>3.0066999999999999</v>
      </c>
      <c r="F85" t="str">
        <f>IFERROR(INDEX(Mapping!$B:$B,MATCH($A85,Mapping!$A:$A,0)),"")</f>
        <v>PL</v>
      </c>
      <c r="G85" t="str">
        <f>IFERROR(INDEX(Mapping!$C:$C,MATCH($A85,Mapping!$A:$A,0)),"")</f>
        <v>EBITDA</v>
      </c>
      <c r="H85" t="str">
        <f>IFERROR(INDEX(Mapping!$D:$D,MATCH($A85,Mapping!$A:$A,0)),"")</f>
        <v>Frais généraux</v>
      </c>
      <c r="I85" t="str">
        <f>IFERROR(INDEX(Mapping!$E:$E,MATCH($A85,Mapping!$A:$A,0)),"")</f>
        <v>Charges hors personnel</v>
      </c>
      <c r="J85" t="str">
        <f>IFERROR(INDEX(Mapping!$F:$F,MATCH($A85,Mapping!$A:$A,0)),"")</f>
        <v>Honoraires professionnels</v>
      </c>
    </row>
    <row r="86" spans="1:10" ht="14.25" customHeight="1">
      <c r="A86" t="s">
        <v>510</v>
      </c>
      <c r="B86" t="str">
        <f t="shared" si="2"/>
        <v>Lib compte 6228</v>
      </c>
      <c r="C86" s="88">
        <v>4996.7716</v>
      </c>
      <c r="D86" s="88">
        <v>128.27160000000001</v>
      </c>
      <c r="E86" s="88">
        <v>130.41159999999999</v>
      </c>
      <c r="F86" t="str">
        <f>IFERROR(INDEX(Mapping!$B:$B,MATCH($A86,Mapping!$A:$A,0)),"")</f>
        <v>PL</v>
      </c>
      <c r="G86" t="str">
        <f>IFERROR(INDEX(Mapping!$C:$C,MATCH($A86,Mapping!$A:$A,0)),"")</f>
        <v>EBITDA</v>
      </c>
      <c r="H86" t="str">
        <f>IFERROR(INDEX(Mapping!$D:$D,MATCH($A86,Mapping!$A:$A,0)),"")</f>
        <v>Frais généraux</v>
      </c>
      <c r="I86" t="str">
        <f>IFERROR(INDEX(Mapping!$E:$E,MATCH($A86,Mapping!$A:$A,0)),"")</f>
        <v>Charges hors personnel</v>
      </c>
      <c r="J86" t="str">
        <f>IFERROR(INDEX(Mapping!$F:$F,MATCH($A86,Mapping!$A:$A,0)),"")</f>
        <v>Études</v>
      </c>
    </row>
    <row r="87" spans="1:10" ht="14.25" customHeight="1">
      <c r="A87" t="s">
        <v>511</v>
      </c>
      <c r="B87" t="str">
        <f t="shared" si="2"/>
        <v>Lib compte 623</v>
      </c>
      <c r="C87" s="88">
        <v>1610.2002</v>
      </c>
      <c r="D87" s="88">
        <v>1225.8241</v>
      </c>
      <c r="E87" s="88">
        <v>690.27840000000003</v>
      </c>
      <c r="F87" t="str">
        <f>IFERROR(INDEX(Mapping!$B:$B,MATCH($A87,Mapping!$A:$A,0)),"")</f>
        <v>PL</v>
      </c>
      <c r="G87" t="str">
        <f>IFERROR(INDEX(Mapping!$C:$C,MATCH($A87,Mapping!$A:$A,0)),"")</f>
        <v>EBITDA</v>
      </c>
      <c r="H87" t="str">
        <f>IFERROR(INDEX(Mapping!$D:$D,MATCH($A87,Mapping!$A:$A,0)),"")</f>
        <v>Ventes &amp; Marketing</v>
      </c>
      <c r="I87" t="str">
        <f>IFERROR(INDEX(Mapping!$E:$E,MATCH($A87,Mapping!$A:$A,0)),"")</f>
        <v>Charges hors personnel</v>
      </c>
      <c r="J87" t="str">
        <f>IFERROR(INDEX(Mapping!$F:$F,MATCH($A87,Mapping!$A:$A,0)),"")</f>
        <v>Annonces et insertions</v>
      </c>
    </row>
    <row r="88" spans="1:10" ht="14.25" customHeight="1">
      <c r="A88" t="s">
        <v>512</v>
      </c>
      <c r="B88" t="str">
        <f t="shared" si="2"/>
        <v>Lib compte 62301</v>
      </c>
      <c r="C88" s="88">
        <v>0</v>
      </c>
      <c r="D88" s="88">
        <v>0</v>
      </c>
      <c r="E88" s="88">
        <v>1070.7275999999999</v>
      </c>
      <c r="F88" t="str">
        <f>IFERROR(INDEX(Mapping!$B:$B,MATCH($A88,Mapping!$A:$A,0)),"")</f>
        <v>PL</v>
      </c>
      <c r="G88" t="str">
        <f>IFERROR(INDEX(Mapping!$C:$C,MATCH($A88,Mapping!$A:$A,0)),"")</f>
        <v>EBITDA</v>
      </c>
      <c r="H88" t="str">
        <f>IFERROR(INDEX(Mapping!$D:$D,MATCH($A88,Mapping!$A:$A,0)),"")</f>
        <v>Ventes &amp; Marketing</v>
      </c>
      <c r="I88" t="str">
        <f>IFERROR(INDEX(Mapping!$E:$E,MATCH($A88,Mapping!$A:$A,0)),"")</f>
        <v>Charges hors personnel</v>
      </c>
      <c r="J88" t="str">
        <f>IFERROR(INDEX(Mapping!$F:$F,MATCH($A88,Mapping!$A:$A,0)),"")</f>
        <v>Annonces et insertions</v>
      </c>
    </row>
    <row r="89" spans="1:10" ht="14.25" customHeight="1">
      <c r="A89" t="s">
        <v>513</v>
      </c>
      <c r="B89" t="str">
        <f t="shared" si="2"/>
        <v>Lib compte 6234</v>
      </c>
      <c r="C89" s="88">
        <v>1178.7440999999999</v>
      </c>
      <c r="D89" s="88">
        <v>187.25</v>
      </c>
      <c r="E89" s="88">
        <v>558.17619999999999</v>
      </c>
      <c r="F89" t="str">
        <f>IFERROR(INDEX(Mapping!$B:$B,MATCH($A89,Mapping!$A:$A,0)),"")</f>
        <v>PL</v>
      </c>
      <c r="G89" t="str">
        <f>IFERROR(INDEX(Mapping!$C:$C,MATCH($A89,Mapping!$A:$A,0)),"")</f>
        <v>EBITDA</v>
      </c>
      <c r="H89" t="str">
        <f>IFERROR(INDEX(Mapping!$D:$D,MATCH($A89,Mapping!$A:$A,0)),"")</f>
        <v>Frais généraux</v>
      </c>
      <c r="I89" t="str">
        <f>IFERROR(INDEX(Mapping!$E:$E,MATCH($A89,Mapping!$A:$A,0)),"")</f>
        <v>Charges hors personnel</v>
      </c>
      <c r="J89" t="str">
        <f>IFERROR(INDEX(Mapping!$F:$F,MATCH($A89,Mapping!$A:$A,0)),"")</f>
        <v>Énergie &amp; Fluides</v>
      </c>
    </row>
    <row r="90" spans="1:10" ht="14.25" customHeight="1">
      <c r="A90" t="s">
        <v>514</v>
      </c>
      <c r="B90" t="str">
        <f t="shared" si="2"/>
        <v>Lib compte 6251</v>
      </c>
      <c r="C90" s="88">
        <v>11757.716399999999</v>
      </c>
      <c r="D90" s="88">
        <v>15204.646500000001</v>
      </c>
      <c r="E90" s="88">
        <v>16852.414400000001</v>
      </c>
      <c r="F90" t="str">
        <f>IFERROR(INDEX(Mapping!$B:$B,MATCH($A90,Mapping!$A:$A,0)),"")</f>
        <v>PL</v>
      </c>
      <c r="G90" t="str">
        <f>IFERROR(INDEX(Mapping!$C:$C,MATCH($A90,Mapping!$A:$A,0)),"")</f>
        <v>EBITDA</v>
      </c>
      <c r="H90" t="str">
        <f>IFERROR(INDEX(Mapping!$D:$D,MATCH($A90,Mapping!$A:$A,0)),"")</f>
        <v>Ventes &amp; Marketing</v>
      </c>
      <c r="I90" t="str">
        <f>IFERROR(INDEX(Mapping!$E:$E,MATCH($A90,Mapping!$A:$A,0)),"")</f>
        <v>Charges hors personnel</v>
      </c>
      <c r="J90" t="str">
        <f>IFERROR(INDEX(Mapping!$F:$F,MATCH($A90,Mapping!$A:$A,0)),"")</f>
        <v>Déplacements &amp; Missions</v>
      </c>
    </row>
    <row r="91" spans="1:10" ht="14.25" customHeight="1">
      <c r="A91" t="s">
        <v>515</v>
      </c>
      <c r="B91" t="str">
        <f t="shared" si="2"/>
        <v>Lib compte 62511</v>
      </c>
      <c r="C91" s="88">
        <v>1408.3233</v>
      </c>
      <c r="D91" s="88">
        <v>1227.2686000000001</v>
      </c>
      <c r="E91" s="88">
        <v>1145.8416</v>
      </c>
      <c r="F91" t="str">
        <f>IFERROR(INDEX(Mapping!$B:$B,MATCH($A91,Mapping!$A:$A,0)),"")</f>
        <v>PL</v>
      </c>
      <c r="G91" t="str">
        <f>IFERROR(INDEX(Mapping!$C:$C,MATCH($A91,Mapping!$A:$A,0)),"")</f>
        <v>EBITDA</v>
      </c>
      <c r="H91" t="str">
        <f>IFERROR(INDEX(Mapping!$D:$D,MATCH($A91,Mapping!$A:$A,0)),"")</f>
        <v>Frais généraux</v>
      </c>
      <c r="I91" t="str">
        <f>IFERROR(INDEX(Mapping!$E:$E,MATCH($A91,Mapping!$A:$A,0)),"")</f>
        <v>Charges hors personnel</v>
      </c>
      <c r="J91" t="str">
        <f>IFERROR(INDEX(Mapping!$F:$F,MATCH($A91,Mapping!$A:$A,0)),"")</f>
        <v>Déplacements</v>
      </c>
    </row>
    <row r="92" spans="1:10" ht="14.25" customHeight="1">
      <c r="A92" t="s">
        <v>516</v>
      </c>
      <c r="B92" t="str">
        <f t="shared" si="2"/>
        <v>Lib compte 6257</v>
      </c>
      <c r="C92" s="88">
        <v>1111.0345</v>
      </c>
      <c r="D92" s="88">
        <v>3052.1963999999998</v>
      </c>
      <c r="E92" s="88">
        <v>4661.0805</v>
      </c>
      <c r="F92" t="str">
        <f>IFERROR(INDEX(Mapping!$B:$B,MATCH($A92,Mapping!$A:$A,0)),"")</f>
        <v>PL</v>
      </c>
      <c r="G92" t="str">
        <f>IFERROR(INDEX(Mapping!$C:$C,MATCH($A92,Mapping!$A:$A,0)),"")</f>
        <v>EBITDA</v>
      </c>
      <c r="H92" t="str">
        <f>IFERROR(INDEX(Mapping!$D:$D,MATCH($A92,Mapping!$A:$A,0)),"")</f>
        <v>Frais généraux</v>
      </c>
      <c r="I92" t="str">
        <f>IFERROR(INDEX(Mapping!$E:$E,MATCH($A92,Mapping!$A:$A,0)),"")</f>
        <v>Charges hors personnel</v>
      </c>
      <c r="J92" t="str">
        <f>IFERROR(INDEX(Mapping!$F:$F,MATCH($A92,Mapping!$A:$A,0)),"")</f>
        <v>Réceptions</v>
      </c>
    </row>
    <row r="93" spans="1:10" ht="14.25" customHeight="1">
      <c r="A93" t="s">
        <v>517</v>
      </c>
      <c r="B93" t="str">
        <f t="shared" si="2"/>
        <v>Lib compte 6261</v>
      </c>
      <c r="C93" s="88">
        <v>999.45489999999995</v>
      </c>
      <c r="D93" s="88">
        <v>951.41189999999995</v>
      </c>
      <c r="E93" s="88">
        <v>917.18259999999998</v>
      </c>
      <c r="F93" t="str">
        <f>IFERROR(INDEX(Mapping!$B:$B,MATCH($A93,Mapping!$A:$A,0)),"")</f>
        <v>PL</v>
      </c>
      <c r="G93" t="str">
        <f>IFERROR(INDEX(Mapping!$C:$C,MATCH($A93,Mapping!$A:$A,0)),"")</f>
        <v>EBITDA</v>
      </c>
      <c r="H93" t="str">
        <f>IFERROR(INDEX(Mapping!$D:$D,MATCH($A93,Mapping!$A:$A,0)),"")</f>
        <v>Frais généraux</v>
      </c>
      <c r="I93" t="str">
        <f>IFERROR(INDEX(Mapping!$E:$E,MATCH($A93,Mapping!$A:$A,0)),"")</f>
        <v>Charges hors personnel</v>
      </c>
      <c r="J93" t="str">
        <f>IFERROR(INDEX(Mapping!$F:$F,MATCH($A93,Mapping!$A:$A,0)),"")</f>
        <v>Affranchissement et télécommunications</v>
      </c>
    </row>
    <row r="94" spans="1:10" ht="14.25" customHeight="1">
      <c r="A94" t="s">
        <v>518</v>
      </c>
      <c r="B94" t="str">
        <f t="shared" si="2"/>
        <v>Lib compte 6262</v>
      </c>
      <c r="C94" s="88">
        <v>1215.5414000000001</v>
      </c>
      <c r="D94" s="88">
        <v>1380.3214</v>
      </c>
      <c r="E94" s="88">
        <v>891.40629999999999</v>
      </c>
      <c r="F94" t="str">
        <f>IFERROR(INDEX(Mapping!$B:$B,MATCH($A94,Mapping!$A:$A,0)),"")</f>
        <v>PL</v>
      </c>
      <c r="G94" t="str">
        <f>IFERROR(INDEX(Mapping!$C:$C,MATCH($A94,Mapping!$A:$A,0)),"")</f>
        <v>EBITDA</v>
      </c>
      <c r="H94" t="str">
        <f>IFERROR(INDEX(Mapping!$D:$D,MATCH($A94,Mapping!$A:$A,0)),"")</f>
        <v>Frais généraux</v>
      </c>
      <c r="I94" t="str">
        <f>IFERROR(INDEX(Mapping!$E:$E,MATCH($A94,Mapping!$A:$A,0)),"")</f>
        <v>Charges hors personnel</v>
      </c>
      <c r="J94" t="str">
        <f>IFERROR(INDEX(Mapping!$F:$F,MATCH($A94,Mapping!$A:$A,0)),"")</f>
        <v>Télécommunications</v>
      </c>
    </row>
    <row r="95" spans="1:10" ht="14.25" customHeight="1">
      <c r="A95" t="s">
        <v>519</v>
      </c>
      <c r="B95" t="str">
        <f t="shared" si="2"/>
        <v>Lib compte 6263</v>
      </c>
      <c r="C95" s="88">
        <v>0</v>
      </c>
      <c r="D95" s="88">
        <v>0</v>
      </c>
      <c r="E95" s="88">
        <v>591.03589999999997</v>
      </c>
      <c r="F95" t="str">
        <f>IFERROR(INDEX(Mapping!$B:$B,MATCH($A95,Mapping!$A:$A,0)),"")</f>
        <v>PL</v>
      </c>
      <c r="G95" t="str">
        <f>IFERROR(INDEX(Mapping!$C:$C,MATCH($A95,Mapping!$A:$A,0)),"")</f>
        <v>EBITDA</v>
      </c>
      <c r="H95" t="str">
        <f>IFERROR(INDEX(Mapping!$D:$D,MATCH($A95,Mapping!$A:$A,0)),"")</f>
        <v>Frais généraux</v>
      </c>
      <c r="I95" t="str">
        <f>IFERROR(INDEX(Mapping!$E:$E,MATCH($A95,Mapping!$A:$A,0)),"")</f>
        <v>Charges hors personnel</v>
      </c>
      <c r="J95" t="str">
        <f>IFERROR(INDEX(Mapping!$F:$F,MATCH($A95,Mapping!$A:$A,0)),"")</f>
        <v>Télécommunications</v>
      </c>
    </row>
    <row r="96" spans="1:10" ht="14.25" customHeight="1">
      <c r="A96" t="s">
        <v>520</v>
      </c>
      <c r="B96" t="str">
        <f t="shared" si="2"/>
        <v>Lib compte 627</v>
      </c>
      <c r="C96" s="88">
        <v>400.26560000000001</v>
      </c>
      <c r="D96" s="88">
        <v>542.47929999999997</v>
      </c>
      <c r="E96" s="88">
        <v>0</v>
      </c>
      <c r="F96" t="str">
        <f>IFERROR(INDEX(Mapping!$B:$B,MATCH($A96,Mapping!$A:$A,0)),"")</f>
        <v>PL</v>
      </c>
      <c r="G96" t="str">
        <f>IFERROR(INDEX(Mapping!$C:$C,MATCH($A96,Mapping!$A:$A,0)),"")</f>
        <v>EBITDA</v>
      </c>
      <c r="H96" t="str">
        <f>IFERROR(INDEX(Mapping!$D:$D,MATCH($A96,Mapping!$A:$A,0)),"")</f>
        <v>Ventes &amp; Marketing</v>
      </c>
      <c r="I96" t="str">
        <f>IFERROR(INDEX(Mapping!$E:$E,MATCH($A96,Mapping!$A:$A,0)),"")</f>
        <v>Charges hors personnel</v>
      </c>
      <c r="J96" t="str">
        <f>IFERROR(INDEX(Mapping!$F:$F,MATCH($A96,Mapping!$A:$A,0)),"")</f>
        <v>Déplacements &amp; Missions</v>
      </c>
    </row>
    <row r="97" spans="1:10" ht="14.25" customHeight="1">
      <c r="A97" t="s">
        <v>521</v>
      </c>
      <c r="B97" t="str">
        <f t="shared" si="2"/>
        <v>Lib compte 6271</v>
      </c>
      <c r="C97" s="88">
        <v>1120.2257999999999</v>
      </c>
      <c r="D97" s="88">
        <v>692.33280000000002</v>
      </c>
      <c r="E97" s="88">
        <v>517.1952</v>
      </c>
      <c r="F97" t="str">
        <f>IFERROR(INDEX(Mapping!$B:$B,MATCH($A97,Mapping!$A:$A,0)),"")</f>
        <v>PL</v>
      </c>
      <c r="G97" t="str">
        <f>IFERROR(INDEX(Mapping!$C:$C,MATCH($A97,Mapping!$A:$A,0)),"")</f>
        <v>EBITDA</v>
      </c>
      <c r="H97" t="str">
        <f>IFERROR(INDEX(Mapping!$D:$D,MATCH($A97,Mapping!$A:$A,0)),"")</f>
        <v>Frais généraux</v>
      </c>
      <c r="I97" t="str">
        <f>IFERROR(INDEX(Mapping!$E:$E,MATCH($A97,Mapping!$A:$A,0)),"")</f>
        <v>Charges hors personnel</v>
      </c>
      <c r="J97" t="str">
        <f>IFERROR(INDEX(Mapping!$F:$F,MATCH($A97,Mapping!$A:$A,0)),"")</f>
        <v>Frais de titres</v>
      </c>
    </row>
    <row r="98" spans="1:10" ht="14.25" customHeight="1">
      <c r="A98" t="s">
        <v>522</v>
      </c>
      <c r="B98" t="str">
        <f t="shared" ref="B98:B127" si="3">"Lib compte "&amp;A98</f>
        <v>Lib compte 6272</v>
      </c>
      <c r="C98" s="88">
        <v>449.4</v>
      </c>
      <c r="D98" s="88">
        <v>449.4</v>
      </c>
      <c r="E98" s="88">
        <v>3214.6331</v>
      </c>
      <c r="F98" t="str">
        <f>IFERROR(INDEX(Mapping!$B:$B,MATCH($A98,Mapping!$A:$A,0)),"")</f>
        <v>PL</v>
      </c>
      <c r="G98" t="str">
        <f>IFERROR(INDEX(Mapping!$C:$C,MATCH($A98,Mapping!$A:$A,0)),"")</f>
        <v>EBITDA</v>
      </c>
      <c r="H98" t="str">
        <f>IFERROR(INDEX(Mapping!$D:$D,MATCH($A98,Mapping!$A:$A,0)),"")</f>
        <v>Frais généraux</v>
      </c>
      <c r="I98" t="str">
        <f>IFERROR(INDEX(Mapping!$E:$E,MATCH($A98,Mapping!$A:$A,0)),"")</f>
        <v>Charges hors personnel</v>
      </c>
      <c r="J98" t="str">
        <f>IFERROR(INDEX(Mapping!$F:$F,MATCH($A98,Mapping!$A:$A,0)),"")</f>
        <v>Frais de dossier de prêt</v>
      </c>
    </row>
    <row r="99" spans="1:10" ht="14.25" customHeight="1">
      <c r="A99" t="s">
        <v>523</v>
      </c>
      <c r="B99" t="str">
        <f t="shared" si="3"/>
        <v>Lib compte 6281</v>
      </c>
      <c r="C99" s="88">
        <v>567.20699999999999</v>
      </c>
      <c r="D99" s="88">
        <v>286.33199999999999</v>
      </c>
      <c r="E99" s="88">
        <v>677.34209999999996</v>
      </c>
      <c r="F99" t="str">
        <f>IFERROR(INDEX(Mapping!$B:$B,MATCH($A99,Mapping!$A:$A,0)),"")</f>
        <v>PL</v>
      </c>
      <c r="G99" t="str">
        <f>IFERROR(INDEX(Mapping!$C:$C,MATCH($A99,Mapping!$A:$A,0)),"")</f>
        <v>EBITDA</v>
      </c>
      <c r="H99" t="str">
        <f>IFERROR(INDEX(Mapping!$D:$D,MATCH($A99,Mapping!$A:$A,0)),"")</f>
        <v>Frais généraux</v>
      </c>
      <c r="I99" t="str">
        <f>IFERROR(INDEX(Mapping!$E:$E,MATCH($A99,Mapping!$A:$A,0)),"")</f>
        <v>Charges hors personnel</v>
      </c>
      <c r="J99" t="str">
        <f>IFERROR(INDEX(Mapping!$F:$F,MATCH($A99,Mapping!$A:$A,0)),"")</f>
        <v>Abonnements</v>
      </c>
    </row>
    <row r="100" spans="1:10" ht="14.25" customHeight="1">
      <c r="A100" t="s">
        <v>524</v>
      </c>
      <c r="B100" t="str">
        <f t="shared" si="3"/>
        <v>Lib compte 6332</v>
      </c>
      <c r="C100" s="88">
        <v>0</v>
      </c>
      <c r="D100" s="88">
        <v>0</v>
      </c>
      <c r="E100" s="88">
        <v>0</v>
      </c>
      <c r="F100" t="str">
        <f>IFERROR(INDEX(Mapping!$B:$B,MATCH($A100,Mapping!$A:$A,0)),"")</f>
        <v>PL</v>
      </c>
      <c r="G100" t="str">
        <f>IFERROR(INDEX(Mapping!$C:$C,MATCH($A100,Mapping!$A:$A,0)),"")</f>
        <v>EBITDA</v>
      </c>
      <c r="H100" t="str">
        <f>IFERROR(INDEX(Mapping!$D:$D,MATCH($A100,Mapping!$A:$A,0)),"")</f>
        <v>Frais généraux</v>
      </c>
      <c r="I100" t="str">
        <f>IFERROR(INDEX(Mapping!$E:$E,MATCH($A100,Mapping!$A:$A,0)),"")</f>
        <v>Charges hors personnel</v>
      </c>
      <c r="J100" t="str">
        <f>IFERROR(INDEX(Mapping!$F:$F,MATCH($A100,Mapping!$A:$A,0)),"")</f>
        <v>Autres impôts et taxes</v>
      </c>
    </row>
    <row r="101" spans="1:10" ht="14.25" customHeight="1">
      <c r="A101" t="s">
        <v>525</v>
      </c>
      <c r="B101" t="str">
        <f t="shared" si="3"/>
        <v>Lib compte 6333</v>
      </c>
      <c r="C101" s="88">
        <v>434.03480000000002</v>
      </c>
      <c r="D101" s="88">
        <v>1295.2136</v>
      </c>
      <c r="E101" s="88">
        <v>106.12260000000001</v>
      </c>
      <c r="F101" t="str">
        <f>IFERROR(INDEX(Mapping!$B:$B,MATCH($A101,Mapping!$A:$A,0)),"")</f>
        <v>PL</v>
      </c>
      <c r="G101" t="str">
        <f>IFERROR(INDEX(Mapping!$C:$C,MATCH($A101,Mapping!$A:$A,0)),"")</f>
        <v>EBITDA</v>
      </c>
      <c r="H101" t="str">
        <f>IFERROR(INDEX(Mapping!$D:$D,MATCH($A101,Mapping!$A:$A,0)),"")</f>
        <v>Frais généraux</v>
      </c>
      <c r="I101" t="str">
        <f>IFERROR(INDEX(Mapping!$E:$E,MATCH($A101,Mapping!$A:$A,0)),"")</f>
        <v>Charges hors personnel</v>
      </c>
      <c r="J101" t="str">
        <f>IFERROR(INDEX(Mapping!$F:$F,MATCH($A101,Mapping!$A:$A,0)),"")</f>
        <v>Autres impôts et taxes</v>
      </c>
    </row>
    <row r="102" spans="1:10" ht="14.25" customHeight="1">
      <c r="A102" t="s">
        <v>526</v>
      </c>
      <c r="B102" t="str">
        <f t="shared" si="3"/>
        <v>Lib compte 63511</v>
      </c>
      <c r="C102" s="88">
        <v>1678.83</v>
      </c>
      <c r="D102" s="88">
        <v>1242.27</v>
      </c>
      <c r="E102" s="88">
        <v>1247.6199999999999</v>
      </c>
      <c r="F102" t="str">
        <f>IFERROR(INDEX(Mapping!$B:$B,MATCH($A102,Mapping!$A:$A,0)),"")</f>
        <v>PL</v>
      </c>
      <c r="G102" t="str">
        <f>IFERROR(INDEX(Mapping!$C:$C,MATCH($A102,Mapping!$A:$A,0)),"")</f>
        <v>EBITDA</v>
      </c>
      <c r="H102" t="str">
        <f>IFERROR(INDEX(Mapping!$D:$D,MATCH($A102,Mapping!$A:$A,0)),"")</f>
        <v>Frais généraux</v>
      </c>
      <c r="I102" t="str">
        <f>IFERROR(INDEX(Mapping!$E:$E,MATCH($A102,Mapping!$A:$A,0)),"")</f>
        <v>Charges hors personnel</v>
      </c>
      <c r="J102" t="str">
        <f>IFERROR(INDEX(Mapping!$F:$F,MATCH($A102,Mapping!$A:$A,0)),"")</f>
        <v>Autres impôts et taxes</v>
      </c>
    </row>
    <row r="103" spans="1:10" ht="14.25" customHeight="1">
      <c r="A103" t="s">
        <v>527</v>
      </c>
      <c r="B103" t="str">
        <f t="shared" si="3"/>
        <v>Lib compte 6411</v>
      </c>
      <c r="C103" s="88">
        <v>52474.3194</v>
      </c>
      <c r="D103" s="88">
        <v>37273.471400000002</v>
      </c>
      <c r="E103" s="88">
        <v>72097.9375</v>
      </c>
      <c r="F103" t="str">
        <f>IFERROR(INDEX(Mapping!$B:$B,MATCH($A103,Mapping!$A:$A,0)),"")</f>
        <v>PL</v>
      </c>
      <c r="G103" t="str">
        <f>IFERROR(INDEX(Mapping!$C:$C,MATCH($A103,Mapping!$A:$A,0)),"")</f>
        <v>EBITDA</v>
      </c>
      <c r="H103" t="str">
        <f>IFERROR(INDEX(Mapping!$D:$D,MATCH($A103,Mapping!$A:$A,0)),"")</f>
        <v>Personnel</v>
      </c>
      <c r="I103" t="str">
        <f>IFERROR(INDEX(Mapping!$E:$E,MATCH($A103,Mapping!$A:$A,0)),"")</f>
        <v>Salaires et traitements</v>
      </c>
      <c r="J103" t="str">
        <f>IFERROR(INDEX(Mapping!$F:$F,MATCH($A103,Mapping!$A:$A,0)),"")</f>
        <v>Salaires &amp; Rémunérations</v>
      </c>
    </row>
    <row r="104" spans="1:10" ht="14.25" customHeight="1">
      <c r="A104" t="s">
        <v>530</v>
      </c>
      <c r="B104" t="str">
        <f t="shared" si="3"/>
        <v>Lib compte 6412</v>
      </c>
      <c r="C104" s="88">
        <v>-381.55130000000003</v>
      </c>
      <c r="D104" s="88">
        <v>1556.9141999999999</v>
      </c>
      <c r="E104" s="88">
        <v>2381.5846000000001</v>
      </c>
      <c r="F104" t="str">
        <f>IFERROR(INDEX(Mapping!$B:$B,MATCH($A104,Mapping!$A:$A,0)),"")</f>
        <v>PL</v>
      </c>
      <c r="G104" t="str">
        <f>IFERROR(INDEX(Mapping!$C:$C,MATCH($A104,Mapping!$A:$A,0)),"")</f>
        <v>EBITDA</v>
      </c>
      <c r="H104" t="str">
        <f>IFERROR(INDEX(Mapping!$D:$D,MATCH($A104,Mapping!$A:$A,0)),"")</f>
        <v>Personnel</v>
      </c>
      <c r="I104" t="str">
        <f>IFERROR(INDEX(Mapping!$E:$E,MATCH($A104,Mapping!$A:$A,0)),"")</f>
        <v>Indemnités de congés payés</v>
      </c>
      <c r="J104" t="str">
        <f>IFERROR(INDEX(Mapping!$F:$F,MATCH($A104,Mapping!$A:$A,0)),"")</f>
        <v>Congés payés</v>
      </c>
    </row>
    <row r="105" spans="1:10" ht="14.25" customHeight="1">
      <c r="A105" t="s">
        <v>533</v>
      </c>
      <c r="B105" t="str">
        <f t="shared" si="3"/>
        <v>Lib compte 6451</v>
      </c>
      <c r="C105" s="88">
        <v>5934.5730999999996</v>
      </c>
      <c r="D105" s="88">
        <v>2336.0454</v>
      </c>
      <c r="E105" s="88">
        <v>1790.8911000000001</v>
      </c>
      <c r="F105" t="str">
        <f>IFERROR(INDEX(Mapping!$B:$B,MATCH($A105,Mapping!$A:$A,0)),"")</f>
        <v>PL</v>
      </c>
      <c r="G105" t="str">
        <f>IFERROR(INDEX(Mapping!$C:$C,MATCH($A105,Mapping!$A:$A,0)),"")</f>
        <v>EBITDA</v>
      </c>
      <c r="H105" t="str">
        <f>IFERROR(INDEX(Mapping!$D:$D,MATCH($A105,Mapping!$A:$A,0)),"")</f>
        <v>Personnel</v>
      </c>
      <c r="I105" t="str">
        <f>IFERROR(INDEX(Mapping!$E:$E,MATCH($A105,Mapping!$A:$A,0)),"")</f>
        <v>Charges sociales</v>
      </c>
      <c r="J105" t="str">
        <f>IFERROR(INDEX(Mapping!$F:$F,MATCH($A105,Mapping!$A:$A,0)),"")</f>
        <v>Charges sociales</v>
      </c>
    </row>
    <row r="106" spans="1:10" ht="14.25" customHeight="1">
      <c r="A106" t="s">
        <v>534</v>
      </c>
      <c r="B106" t="str">
        <f t="shared" si="3"/>
        <v>Lib compte 6453</v>
      </c>
      <c r="C106" s="88">
        <v>1329.903</v>
      </c>
      <c r="D106" s="88">
        <v>507.88619999999997</v>
      </c>
      <c r="E106" s="88">
        <v>405.36950000000002</v>
      </c>
      <c r="F106" t="str">
        <f>IFERROR(INDEX(Mapping!$B:$B,MATCH($A106,Mapping!$A:$A,0)),"")</f>
        <v>PL</v>
      </c>
      <c r="G106" t="str">
        <f>IFERROR(INDEX(Mapping!$C:$C,MATCH($A106,Mapping!$A:$A,0)),"")</f>
        <v>EBITDA</v>
      </c>
      <c r="H106" t="str">
        <f>IFERROR(INDEX(Mapping!$D:$D,MATCH($A106,Mapping!$A:$A,0)),"")</f>
        <v>Personnel</v>
      </c>
      <c r="I106" t="str">
        <f>IFERROR(INDEX(Mapping!$E:$E,MATCH($A106,Mapping!$A:$A,0)),"")</f>
        <v>Cotisations de retraite</v>
      </c>
      <c r="J106" t="str">
        <f>IFERROR(INDEX(Mapping!$F:$F,MATCH($A106,Mapping!$A:$A,0)),"")</f>
        <v>Cotisations de retraite</v>
      </c>
    </row>
    <row r="107" spans="1:10" ht="14.25" customHeight="1">
      <c r="A107" t="s">
        <v>536</v>
      </c>
      <c r="B107" t="str">
        <f t="shared" si="3"/>
        <v>Lib compte 6455</v>
      </c>
      <c r="C107" s="88">
        <v>194.1515</v>
      </c>
      <c r="D107" s="88">
        <v>137.93369999999999</v>
      </c>
      <c r="E107" s="88">
        <v>266.76170000000002</v>
      </c>
      <c r="F107" t="str">
        <f>IFERROR(INDEX(Mapping!$B:$B,MATCH($A107,Mapping!$A:$A,0)),"")</f>
        <v>PL</v>
      </c>
      <c r="G107" t="str">
        <f>IFERROR(INDEX(Mapping!$C:$C,MATCH($A107,Mapping!$A:$A,0)),"")</f>
        <v>EBITDA</v>
      </c>
      <c r="H107" t="str">
        <f>IFERROR(INDEX(Mapping!$D:$D,MATCH($A107,Mapping!$A:$A,0)),"")</f>
        <v>Personnel</v>
      </c>
      <c r="I107" t="str">
        <f>IFERROR(INDEX(Mapping!$E:$E,MATCH($A107,Mapping!$A:$A,0)),"")</f>
        <v>Cotisations de sécurité sociale</v>
      </c>
      <c r="J107" t="str">
        <f>IFERROR(INDEX(Mapping!$F:$F,MATCH($A107,Mapping!$A:$A,0)),"")</f>
        <v>Cotisations de sécurité sociale</v>
      </c>
    </row>
    <row r="108" spans="1:10" ht="14.25" customHeight="1">
      <c r="A108" t="s">
        <v>538</v>
      </c>
      <c r="B108" t="str">
        <f t="shared" si="3"/>
        <v>Lib compte 6456</v>
      </c>
      <c r="C108" s="88">
        <v>320.51850000000002</v>
      </c>
      <c r="D108" s="88">
        <v>552.55870000000004</v>
      </c>
      <c r="E108" s="88">
        <v>1296.0374999999999</v>
      </c>
      <c r="F108" t="str">
        <f>IFERROR(INDEX(Mapping!$B:$B,MATCH($A108,Mapping!$A:$A,0)),"")</f>
        <v>PL</v>
      </c>
      <c r="G108" t="str">
        <f>IFERROR(INDEX(Mapping!$C:$C,MATCH($A108,Mapping!$A:$A,0)),"")</f>
        <v>EBITDA</v>
      </c>
      <c r="H108" t="str">
        <f>IFERROR(INDEX(Mapping!$D:$D,MATCH($A108,Mapping!$A:$A,0)),"")</f>
        <v>Personnel</v>
      </c>
      <c r="I108" t="str">
        <f>IFERROR(INDEX(Mapping!$E:$E,MATCH($A108,Mapping!$A:$A,0)),"")</f>
        <v>Cotisations de sécurité sociale</v>
      </c>
      <c r="J108" t="str">
        <f>IFERROR(INDEX(Mapping!$F:$F,MATCH($A108,Mapping!$A:$A,0)),"")</f>
        <v>Cotisations de sécurité sociale</v>
      </c>
    </row>
    <row r="109" spans="1:10" ht="14.25" customHeight="1">
      <c r="A109" t="s">
        <v>539</v>
      </c>
      <c r="B109" t="str">
        <f t="shared" si="3"/>
        <v>Lib compte 6458</v>
      </c>
      <c r="C109" s="88">
        <v>0</v>
      </c>
      <c r="D109" s="88">
        <v>0</v>
      </c>
      <c r="E109" s="88">
        <v>18.714300000000001</v>
      </c>
      <c r="F109" t="str">
        <f>IFERROR(INDEX(Mapping!$B:$B,MATCH($A109,Mapping!$A:$A,0)),"")</f>
        <v>PL</v>
      </c>
      <c r="G109" t="str">
        <f>IFERROR(INDEX(Mapping!$C:$C,MATCH($A109,Mapping!$A:$A,0)),"")</f>
        <v>EBITDA</v>
      </c>
      <c r="H109" t="str">
        <f>IFERROR(INDEX(Mapping!$D:$D,MATCH($A109,Mapping!$A:$A,0)),"")</f>
        <v>Personnel</v>
      </c>
      <c r="I109" t="str">
        <f>IFERROR(INDEX(Mapping!$E:$E,MATCH($A109,Mapping!$A:$A,0)),"")</f>
        <v>Autres charges sociales</v>
      </c>
      <c r="J109" t="str">
        <f>IFERROR(INDEX(Mapping!$F:$F,MATCH($A109,Mapping!$A:$A,0)),"")</f>
        <v>Autres charges sociales</v>
      </c>
    </row>
    <row r="110" spans="1:10" ht="14.25" customHeight="1">
      <c r="A110" t="s">
        <v>540</v>
      </c>
      <c r="B110" t="str">
        <f t="shared" si="3"/>
        <v>Lib compte 64583</v>
      </c>
      <c r="C110" s="88">
        <v>89.409199999999998</v>
      </c>
      <c r="D110" s="88">
        <v>371.08670000000001</v>
      </c>
      <c r="E110" s="88">
        <v>-115.667</v>
      </c>
      <c r="F110" t="str">
        <f>IFERROR(INDEX(Mapping!$B:$B,MATCH($A110,Mapping!$A:$A,0)),"")</f>
        <v>PL</v>
      </c>
      <c r="G110" t="str">
        <f>IFERROR(INDEX(Mapping!$C:$C,MATCH($A110,Mapping!$A:$A,0)),"")</f>
        <v>EBITDA</v>
      </c>
      <c r="H110" t="str">
        <f>IFERROR(INDEX(Mapping!$D:$D,MATCH($A110,Mapping!$A:$A,0)),"")</f>
        <v>Personnel</v>
      </c>
      <c r="I110" t="str">
        <f>IFERROR(INDEX(Mapping!$E:$E,MATCH($A110,Mapping!$A:$A,0)),"")</f>
        <v>Autres charges sociales</v>
      </c>
      <c r="J110" t="str">
        <f>IFERROR(INDEX(Mapping!$F:$F,MATCH($A110,Mapping!$A:$A,0)),"")</f>
        <v>Autres charges sociales</v>
      </c>
    </row>
    <row r="111" spans="1:10" ht="14.25" customHeight="1">
      <c r="A111" t="s">
        <v>541</v>
      </c>
      <c r="B111" t="str">
        <f t="shared" si="3"/>
        <v>Lib compte 6475</v>
      </c>
      <c r="C111" s="88">
        <v>177.24549999999999</v>
      </c>
      <c r="D111" s="88">
        <v>220.31299999999999</v>
      </c>
      <c r="E111" s="88">
        <v>296.71100000000001</v>
      </c>
      <c r="F111" t="str">
        <f>IFERROR(INDEX(Mapping!$B:$B,MATCH($A111,Mapping!$A:$A,0)),"")</f>
        <v>PL</v>
      </c>
      <c r="G111" t="str">
        <f>IFERROR(INDEX(Mapping!$C:$C,MATCH($A111,Mapping!$A:$A,0)),"")</f>
        <v>EBITDA</v>
      </c>
      <c r="H111" t="str">
        <f>IFERROR(INDEX(Mapping!$D:$D,MATCH($A111,Mapping!$A:$A,0)),"")</f>
        <v>Personnel</v>
      </c>
      <c r="I111" t="str">
        <f>IFERROR(INDEX(Mapping!$E:$E,MATCH($A111,Mapping!$A:$A,0)),"")</f>
        <v>Autres cotisations sociales</v>
      </c>
      <c r="J111" t="str">
        <f>IFERROR(INDEX(Mapping!$F:$F,MATCH($A111,Mapping!$A:$A,0)),"")</f>
        <v>Autres cotisations sociales</v>
      </c>
    </row>
    <row r="112" spans="1:10" ht="14.25" customHeight="1">
      <c r="A112" t="s">
        <v>543</v>
      </c>
      <c r="B112" t="str">
        <f t="shared" si="3"/>
        <v>Lib compte 658</v>
      </c>
      <c r="C112" s="88">
        <v>2.8889999999999998</v>
      </c>
      <c r="D112" s="88">
        <v>8.2497000000000007</v>
      </c>
      <c r="E112" s="88">
        <v>1.1021000000000001</v>
      </c>
      <c r="F112" t="str">
        <f>IFERROR(INDEX(Mapping!$B:$B,MATCH($A112,Mapping!$A:$A,0)),"")</f>
        <v>PL</v>
      </c>
      <c r="G112" t="str">
        <f>IFERROR(INDEX(Mapping!$C:$C,MATCH($A112,Mapping!$A:$A,0)),"")</f>
        <v>EBITDA</v>
      </c>
      <c r="H112" t="str">
        <f>IFERROR(INDEX(Mapping!$D:$D,MATCH($A112,Mapping!$A:$A,0)),"")</f>
        <v>Frais généraux</v>
      </c>
      <c r="I112" t="str">
        <f>IFERROR(INDEX(Mapping!$E:$E,MATCH($A112,Mapping!$A:$A,0)),"")</f>
        <v>Charges hors personnel</v>
      </c>
      <c r="J112" t="str">
        <f>IFERROR(INDEX(Mapping!$F:$F,MATCH($A112,Mapping!$A:$A,0)),"")</f>
        <v>Pénalités et autres charges</v>
      </c>
    </row>
    <row r="113" spans="1:10" ht="14.25" customHeight="1">
      <c r="A113" t="s">
        <v>544</v>
      </c>
      <c r="B113" t="str">
        <f t="shared" si="3"/>
        <v>Lib compte 6611</v>
      </c>
      <c r="C113" s="88">
        <v>180.42339999999999</v>
      </c>
      <c r="D113" s="88">
        <v>220.99780000000001</v>
      </c>
      <c r="E113" s="88">
        <v>108.5943</v>
      </c>
      <c r="F113" t="str">
        <f>IFERROR(INDEX(Mapping!$B:$B,MATCH($A113,Mapping!$A:$A,0)),"")</f>
        <v>PL</v>
      </c>
      <c r="G113" t="str">
        <f>IFERROR(INDEX(Mapping!$C:$C,MATCH($A113,Mapping!$A:$A,0)),"")</f>
        <v>Sous EBIT</v>
      </c>
      <c r="H113" t="str">
        <f>IFERROR(INDEX(Mapping!$D:$D,MATCH($A113,Mapping!$A:$A,0)),"")</f>
        <v>Résultat financier</v>
      </c>
      <c r="I113" t="str">
        <f>IFERROR(INDEX(Mapping!$E:$E,MATCH($A113,Mapping!$A:$A,0)),"")</f>
        <v>Intérêts sur emprunts</v>
      </c>
      <c r="J113" t="str">
        <f>IFERROR(INDEX(Mapping!$F:$F,MATCH($A113,Mapping!$A:$A,0)),"")</f>
        <v>Intérêts sur emprunts</v>
      </c>
    </row>
    <row r="114" spans="1:10" ht="14.25" customHeight="1">
      <c r="A114" t="s">
        <v>545</v>
      </c>
      <c r="B114" t="str">
        <f t="shared" si="3"/>
        <v>Lib compte 666</v>
      </c>
      <c r="C114" s="88">
        <v>0</v>
      </c>
      <c r="D114" s="88">
        <v>0</v>
      </c>
      <c r="E114" s="88">
        <v>0.1605</v>
      </c>
      <c r="F114" t="str">
        <f>IFERROR(INDEX(Mapping!$B:$B,MATCH($A114,Mapping!$A:$A,0)),"")</f>
        <v>PL</v>
      </c>
      <c r="G114" t="str">
        <f>IFERROR(INDEX(Mapping!$C:$C,MATCH($A114,Mapping!$A:$A,0)),"")</f>
        <v>Sous EBIT</v>
      </c>
      <c r="H114" t="str">
        <f>IFERROR(INDEX(Mapping!$D:$D,MATCH($A114,Mapping!$A:$A,0)),"")</f>
        <v>Résultat financier</v>
      </c>
      <c r="I114" t="str">
        <f>IFERROR(INDEX(Mapping!$E:$E,MATCH($A114,Mapping!$A:$A,0)),"")</f>
        <v>Gains de change - Financiers</v>
      </c>
      <c r="J114" t="str">
        <f>IFERROR(INDEX(Mapping!$F:$F,MATCH($A114,Mapping!$A:$A,0)),"")</f>
        <v>Gains &amp; Pertes de change</v>
      </c>
    </row>
    <row r="115" spans="1:10" ht="14.25" customHeight="1">
      <c r="A115" t="s">
        <v>546</v>
      </c>
      <c r="B115" t="str">
        <f t="shared" si="3"/>
        <v>Lib compte 672</v>
      </c>
      <c r="C115" s="88">
        <v>0</v>
      </c>
      <c r="D115" s="88">
        <v>372.10320000000002</v>
      </c>
      <c r="E115" s="88">
        <v>0</v>
      </c>
      <c r="F115" t="str">
        <f>IFERROR(INDEX(Mapping!$B:$B,MATCH($A115,Mapping!$A:$A,0)),"")</f>
        <v>PL</v>
      </c>
      <c r="G115" t="str">
        <f>IFERROR(INDEX(Mapping!$C:$C,MATCH($A115,Mapping!$A:$A,0)),"")</f>
        <v>Sous EBIT</v>
      </c>
      <c r="H115" t="str">
        <f>IFERROR(INDEX(Mapping!$D:$D,MATCH($A115,Mapping!$A:$A,0)),"")</f>
        <v>Résultat exceptionnel</v>
      </c>
      <c r="I115" t="str">
        <f>IFERROR(INDEX(Mapping!$E:$E,MATCH($A115,Mapping!$A:$A,0)),"")</f>
        <v>Ajustements exercice antérieur (Charge)</v>
      </c>
      <c r="J115" t="str">
        <f>IFERROR(INDEX(Mapping!$F:$F,MATCH($A115,Mapping!$A:$A,0)),"")</f>
        <v>Ajustements exercice antérieur (Charge)</v>
      </c>
    </row>
    <row r="116" spans="1:10" ht="14.25" customHeight="1">
      <c r="A116" t="s">
        <v>547</v>
      </c>
      <c r="B116" t="str">
        <f t="shared" si="3"/>
        <v>Lib compte 68111</v>
      </c>
      <c r="C116" s="88">
        <v>31347.7258</v>
      </c>
      <c r="D116" s="88">
        <v>38793.363599999997</v>
      </c>
      <c r="E116" s="88">
        <v>42973.778700000003</v>
      </c>
      <c r="F116" t="str">
        <f>IFERROR(INDEX(Mapping!$B:$B,MATCH($A116,Mapping!$A:$A,0)),"")</f>
        <v>PL</v>
      </c>
      <c r="G116" t="str">
        <f>IFERROR(INDEX(Mapping!$C:$C,MATCH($A116,Mapping!$A:$A,0)),"")</f>
        <v>Amortissements et dépréciations</v>
      </c>
      <c r="H116" t="str">
        <f>IFERROR(INDEX(Mapping!$D:$D,MATCH($A116,Mapping!$A:$A,0)),"")</f>
        <v>Amortissements et dépréciations</v>
      </c>
      <c r="I116" t="str">
        <f>IFERROR(INDEX(Mapping!$E:$E,MATCH($A116,Mapping!$A:$A,0)),"")</f>
        <v>Amortissement des immobilisations incorporelles</v>
      </c>
      <c r="J116" t="str">
        <f>IFERROR(INDEX(Mapping!$F:$F,MATCH($A116,Mapping!$A:$A,0)),"")</f>
        <v>Amortissement des immobilisations incorporelles</v>
      </c>
    </row>
    <row r="117" spans="1:10" ht="14.25" customHeight="1">
      <c r="A117" t="s">
        <v>548</v>
      </c>
      <c r="B117" t="str">
        <f t="shared" si="3"/>
        <v>Lib compte 68112</v>
      </c>
      <c r="C117" s="88">
        <v>692.31140000000005</v>
      </c>
      <c r="D117" s="88">
        <v>1074.1302000000001</v>
      </c>
      <c r="E117" s="88">
        <v>1609.28</v>
      </c>
      <c r="F117" t="str">
        <f>IFERROR(INDEX(Mapping!$B:$B,MATCH($A117,Mapping!$A:$A,0)),"")</f>
        <v>PL</v>
      </c>
      <c r="G117" t="str">
        <f>IFERROR(INDEX(Mapping!$C:$C,MATCH($A117,Mapping!$A:$A,0)),"")</f>
        <v>Amortissements et dépréciations</v>
      </c>
      <c r="H117" t="str">
        <f>IFERROR(INDEX(Mapping!$D:$D,MATCH($A117,Mapping!$A:$A,0)),"")</f>
        <v>Amortissements et dépréciations</v>
      </c>
      <c r="I117" t="str">
        <f>IFERROR(INDEX(Mapping!$E:$E,MATCH($A117,Mapping!$A:$A,0)),"")</f>
        <v>Dotations aux amortissements des immobilisations corporelles</v>
      </c>
      <c r="J117" t="str">
        <f>IFERROR(INDEX(Mapping!$F:$F,MATCH($A117,Mapping!$A:$A,0)),"")</f>
        <v>Dotations aux amortissements des immobilisations corporelles</v>
      </c>
    </row>
    <row r="118" spans="1:10" ht="14.25" customHeight="1">
      <c r="A118" t="s">
        <v>549</v>
      </c>
      <c r="B118" t="str">
        <f t="shared" si="3"/>
        <v>Lib compte 695</v>
      </c>
      <c r="C118" s="88">
        <v>1515.12</v>
      </c>
      <c r="D118" s="88">
        <v>6243.45</v>
      </c>
      <c r="E118" s="88">
        <v>5382.1</v>
      </c>
      <c r="F118" t="str">
        <f>IFERROR(INDEX(Mapping!$B:$B,MATCH($A118,Mapping!$A:$A,0)),"")</f>
        <v>PL</v>
      </c>
      <c r="G118" t="str">
        <f>IFERROR(INDEX(Mapping!$C:$C,MATCH($A118,Mapping!$A:$A,0)),"")</f>
        <v>Sous EBIT</v>
      </c>
      <c r="H118" t="str">
        <f>IFERROR(INDEX(Mapping!$D:$D,MATCH($A118,Mapping!$A:$A,0)),"")</f>
        <v>Impôt sur les sociétés</v>
      </c>
      <c r="I118" t="str">
        <f>IFERROR(INDEX(Mapping!$E:$E,MATCH($A118,Mapping!$A:$A,0)),"")</f>
        <v>Charge d'impôt sur les bénéfices</v>
      </c>
      <c r="J118" t="str">
        <f>IFERROR(INDEX(Mapping!$F:$F,MATCH($A118,Mapping!$A:$A,0)),"")</f>
        <v>Charge d'impôt sur les bénéfices</v>
      </c>
    </row>
    <row r="119" spans="1:10" ht="14.25" customHeight="1">
      <c r="A119" t="s">
        <v>550</v>
      </c>
      <c r="B119" t="str">
        <f t="shared" si="3"/>
        <v>Lib compte 6991</v>
      </c>
      <c r="C119" s="88">
        <v>-14570.19</v>
      </c>
      <c r="D119" s="88">
        <v>0</v>
      </c>
      <c r="E119" s="88">
        <v>0</v>
      </c>
      <c r="F119" t="str">
        <f>IFERROR(INDEX(Mapping!$B:$B,MATCH($A119,Mapping!$A:$A,0)),"")</f>
        <v>PL</v>
      </c>
      <c r="G119" t="str">
        <f>IFERROR(INDEX(Mapping!$C:$C,MATCH($A119,Mapping!$A:$A,0)),"")</f>
        <v>Sous EBIT</v>
      </c>
      <c r="H119" t="str">
        <f>IFERROR(INDEX(Mapping!$D:$D,MATCH($A119,Mapping!$A:$A,0)),"")</f>
        <v>Impôt sur les sociétés</v>
      </c>
      <c r="I119" t="str">
        <f>IFERROR(INDEX(Mapping!$E:$E,MATCH($A119,Mapping!$A:$A,0)),"")</f>
        <v>Reports de déficits fiscaux</v>
      </c>
      <c r="J119" t="str">
        <f>IFERROR(INDEX(Mapping!$F:$F,MATCH($A119,Mapping!$A:$A,0)),"")</f>
        <v>Reports de déficits fiscaux</v>
      </c>
    </row>
    <row r="120" spans="1:10" ht="14.25" customHeight="1">
      <c r="A120" t="s">
        <v>551</v>
      </c>
      <c r="B120" t="str">
        <f t="shared" si="3"/>
        <v>Lib compte 701</v>
      </c>
      <c r="C120" s="88">
        <v>0</v>
      </c>
      <c r="D120" s="88">
        <v>0</v>
      </c>
      <c r="E120" s="88">
        <v>-34804.435700000002</v>
      </c>
      <c r="F120" t="str">
        <f>IFERROR(INDEX(Mapping!$B:$B,MATCH($A120,Mapping!$A:$A,0)),"")</f>
        <v>PL</v>
      </c>
      <c r="G120" t="str">
        <f>IFERROR(INDEX(Mapping!$C:$C,MATCH($A120,Mapping!$A:$A,0)),"")</f>
        <v>EBITDA</v>
      </c>
      <c r="H120" t="str">
        <f>IFERROR(INDEX(Mapping!$D:$D,MATCH($A120,Mapping!$A:$A,0)),"")</f>
        <v>Chiffre d'affaires</v>
      </c>
      <c r="I120" t="str">
        <f>IFERROR(INDEX(Mapping!$E:$E,MATCH($A120,Mapping!$A:$A,0)),"")</f>
        <v>Ventes de produits finis</v>
      </c>
      <c r="J120" t="str">
        <f>IFERROR(INDEX(Mapping!$F:$F,MATCH($A120,Mapping!$A:$A,0)),"")</f>
        <v>Ventes de produits finis</v>
      </c>
    </row>
    <row r="121" spans="1:10" ht="14.25" customHeight="1">
      <c r="A121" t="s">
        <v>552</v>
      </c>
      <c r="B121" t="str">
        <f t="shared" si="3"/>
        <v>Lib compte 7064</v>
      </c>
      <c r="C121" s="88">
        <v>-292465.1972</v>
      </c>
      <c r="D121" s="88">
        <v>-355279.15130000003</v>
      </c>
      <c r="E121" s="88">
        <v>-416431.37400000001</v>
      </c>
      <c r="F121" t="str">
        <f>IFERROR(INDEX(Mapping!$B:$B,MATCH($A121,Mapping!$A:$A,0)),"")</f>
        <v>PL</v>
      </c>
      <c r="G121" t="str">
        <f>IFERROR(INDEX(Mapping!$C:$C,MATCH($A121,Mapping!$A:$A,0)),"")</f>
        <v>EBITDA</v>
      </c>
      <c r="H121" t="str">
        <f>IFERROR(INDEX(Mapping!$D:$D,MATCH($A121,Mapping!$A:$A,0)),"")</f>
        <v>Chiffre d'affaires</v>
      </c>
      <c r="I121" t="str">
        <f>IFERROR(INDEX(Mapping!$E:$E,MATCH($A121,Mapping!$A:$A,0)),"")</f>
        <v>Prestations de services</v>
      </c>
      <c r="J121" t="str">
        <f>IFERROR(INDEX(Mapping!$F:$F,MATCH($A121,Mapping!$A:$A,0)),"")</f>
        <v>Prestations de services</v>
      </c>
    </row>
    <row r="122" spans="1:10" ht="14.25" customHeight="1">
      <c r="A122" t="s">
        <v>553</v>
      </c>
      <c r="B122" t="str">
        <f t="shared" si="3"/>
        <v>Lib compte 70641</v>
      </c>
      <c r="C122" s="88">
        <v>-1241.2</v>
      </c>
      <c r="D122" s="88">
        <v>-1990.2</v>
      </c>
      <c r="E122" s="88">
        <v>-941.6</v>
      </c>
      <c r="F122" t="str">
        <f>IFERROR(INDEX(Mapping!$B:$B,MATCH($A122,Mapping!$A:$A,0)),"")</f>
        <v>PL</v>
      </c>
      <c r="G122" t="str">
        <f>IFERROR(INDEX(Mapping!$C:$C,MATCH($A122,Mapping!$A:$A,0)),"")</f>
        <v>EBITDA</v>
      </c>
      <c r="H122" t="str">
        <f>IFERROR(INDEX(Mapping!$D:$D,MATCH($A122,Mapping!$A:$A,0)),"")</f>
        <v>Chiffre d'affaires</v>
      </c>
      <c r="I122" t="str">
        <f>IFERROR(INDEX(Mapping!$E:$E,MATCH($A122,Mapping!$A:$A,0)),"")</f>
        <v>Prestations de services</v>
      </c>
      <c r="J122" t="str">
        <f>IFERROR(INDEX(Mapping!$F:$F,MATCH($A122,Mapping!$A:$A,0)),"")</f>
        <v>Prestations de services</v>
      </c>
    </row>
    <row r="123" spans="1:10" ht="14.25" customHeight="1">
      <c r="A123" t="s">
        <v>554</v>
      </c>
      <c r="B123" t="str">
        <f t="shared" si="3"/>
        <v>Lib compte 70642</v>
      </c>
      <c r="C123" s="88">
        <v>-3558.82</v>
      </c>
      <c r="D123" s="88">
        <v>-6798.78</v>
      </c>
      <c r="E123" s="88">
        <v>-2988.2103999999999</v>
      </c>
      <c r="F123" t="str">
        <f>IFERROR(INDEX(Mapping!$B:$B,MATCH($A123,Mapping!$A:$A,0)),"")</f>
        <v>PL</v>
      </c>
      <c r="G123" t="str">
        <f>IFERROR(INDEX(Mapping!$C:$C,MATCH($A123,Mapping!$A:$A,0)),"")</f>
        <v>EBITDA</v>
      </c>
      <c r="H123" t="str">
        <f>IFERROR(INDEX(Mapping!$D:$D,MATCH($A123,Mapping!$A:$A,0)),"")</f>
        <v>Chiffre d'affaires</v>
      </c>
      <c r="I123" t="str">
        <f>IFERROR(INDEX(Mapping!$E:$E,MATCH($A123,Mapping!$A:$A,0)),"")</f>
        <v>Prestations de services</v>
      </c>
      <c r="J123" t="str">
        <f>IFERROR(INDEX(Mapping!$F:$F,MATCH($A123,Mapping!$A:$A,0)),"")</f>
        <v>Prestations de services</v>
      </c>
    </row>
    <row r="124" spans="1:10" ht="14.25" customHeight="1">
      <c r="A124" t="s">
        <v>555</v>
      </c>
      <c r="B124" t="str">
        <f t="shared" si="3"/>
        <v>Lib compte 758</v>
      </c>
      <c r="C124" s="88">
        <v>-7.8430999999999997</v>
      </c>
      <c r="D124" s="88">
        <v>-10.5716</v>
      </c>
      <c r="E124" s="88">
        <v>-1.3161</v>
      </c>
      <c r="F124" t="str">
        <f>IFERROR(INDEX(Mapping!$B:$B,MATCH($A124,Mapping!$A:$A,0)),"")</f>
        <v>PL</v>
      </c>
      <c r="G124" t="str">
        <f>IFERROR(INDEX(Mapping!$C:$C,MATCH($A124,Mapping!$A:$A,0)),"")</f>
        <v>Sous EBIT</v>
      </c>
      <c r="H124" t="str">
        <f>IFERROR(INDEX(Mapping!$D:$D,MATCH($A124,Mapping!$A:$A,0)),"")</f>
        <v>Résultat exceptionnel</v>
      </c>
      <c r="I124" t="str">
        <f>IFERROR(INDEX(Mapping!$E:$E,MATCH($A124,Mapping!$A:$A,0)),"")</f>
        <v>Indemnités et autres produits</v>
      </c>
      <c r="J124" t="str">
        <f>IFERROR(INDEX(Mapping!$F:$F,MATCH($A124,Mapping!$A:$A,0)),"")</f>
        <v>Indemnités et autres produits</v>
      </c>
    </row>
    <row r="125" spans="1:10" ht="14.25" customHeight="1">
      <c r="A125" t="s">
        <v>556</v>
      </c>
      <c r="B125" t="str">
        <f t="shared" si="3"/>
        <v>Lib compte 768</v>
      </c>
      <c r="C125" s="88">
        <v>-42.650199999999998</v>
      </c>
      <c r="D125" s="88">
        <v>-0.32100000000000001</v>
      </c>
      <c r="E125" s="88">
        <v>-3.1564999999999999</v>
      </c>
      <c r="F125" t="str">
        <f>IFERROR(INDEX(Mapping!$B:$B,MATCH($A125,Mapping!$A:$A,0)),"")</f>
        <v>PL</v>
      </c>
      <c r="G125" t="str">
        <f>IFERROR(INDEX(Mapping!$C:$C,MATCH($A125,Mapping!$A:$A,0)),"")</f>
        <v>Sous EBIT</v>
      </c>
      <c r="H125" t="str">
        <f>IFERROR(INDEX(Mapping!$D:$D,MATCH($A125,Mapping!$A:$A,0)),"")</f>
        <v>Résultat financier</v>
      </c>
      <c r="I125" t="str">
        <f>IFERROR(INDEX(Mapping!$E:$E,MATCH($A125,Mapping!$A:$A,0)),"")</f>
        <v>Autres produits financiers</v>
      </c>
      <c r="J125" t="str">
        <f>IFERROR(INDEX(Mapping!$F:$F,MATCH($A125,Mapping!$A:$A,0)),"")</f>
        <v>Autres produits financiers</v>
      </c>
    </row>
    <row r="126" spans="1:10" ht="14.25" customHeight="1">
      <c r="A126" t="s">
        <v>557</v>
      </c>
      <c r="B126" t="str">
        <f t="shared" si="3"/>
        <v>Lib compte 772</v>
      </c>
      <c r="C126" s="88">
        <v>-158.74520000000001</v>
      </c>
      <c r="D126" s="88">
        <v>0</v>
      </c>
      <c r="E126" s="88">
        <v>0</v>
      </c>
      <c r="F126" t="str">
        <f>IFERROR(INDEX(Mapping!$B:$B,MATCH($A126,Mapping!$A:$A,0)),"")</f>
        <v>PL</v>
      </c>
      <c r="G126" t="str">
        <f>IFERROR(INDEX(Mapping!$C:$C,MATCH($A126,Mapping!$A:$A,0)),"")</f>
        <v>Sous EBIT</v>
      </c>
      <c r="H126" t="str">
        <f>IFERROR(INDEX(Mapping!$D:$D,MATCH($A126,Mapping!$A:$A,0)),"")</f>
        <v>Résultat exceptionnel</v>
      </c>
      <c r="I126" t="str">
        <f>IFERROR(INDEX(Mapping!$E:$E,MATCH($A126,Mapping!$A:$A,0)),"")</f>
        <v>Ajustements exercice antérieur (Produit)</v>
      </c>
      <c r="J126" t="str">
        <f>IFERROR(INDEX(Mapping!$F:$F,MATCH($A126,Mapping!$A:$A,0)),"")</f>
        <v>Ajustements exercice antérieur (Produit)</v>
      </c>
    </row>
    <row r="127" spans="1:10" ht="14.25" customHeight="1">
      <c r="A127" t="s">
        <v>558</v>
      </c>
      <c r="B127" t="str">
        <f t="shared" si="3"/>
        <v>Lib compte 7913</v>
      </c>
      <c r="C127" s="88">
        <v>-8916.5989000000009</v>
      </c>
      <c r="D127" s="88">
        <v>-14266.523999999999</v>
      </c>
      <c r="E127" s="88">
        <v>-17833.3262</v>
      </c>
      <c r="F127" t="str">
        <f>IFERROR(INDEX(Mapping!$B:$B,MATCH($A127,Mapping!$A:$A,0)),"")</f>
        <v>PL</v>
      </c>
      <c r="G127" t="str">
        <f>IFERROR(INDEX(Mapping!$C:$C,MATCH($A127,Mapping!$A:$A,0)),"")</f>
        <v>Sous EBIT</v>
      </c>
      <c r="H127" t="str">
        <f>IFERROR(INDEX(Mapping!$D:$D,MATCH($A127,Mapping!$A:$A,0)),"")</f>
        <v>Résultat exceptionnel</v>
      </c>
      <c r="I127" t="str">
        <f>IFERROR(INDEX(Mapping!$E:$E,MATCH($A127,Mapping!$A:$A,0)),"")</f>
        <v>Transferts de charges d'exploitation</v>
      </c>
      <c r="J127" t="str">
        <f>IFERROR(INDEX(Mapping!$F:$F,MATCH($A127,Mapping!$A:$A,0)),"")</f>
        <v>Transferts de charges d'exploitation</v>
      </c>
    </row>
  </sheetData>
  <autoFilter ref="A1:J127" xr:uid="{00000000-0009-0000-0000-00000B000000}"/>
  <pageMargins left="0.75" right="0.75" top="1" bottom="1" header="0.511811023622047" footer="0.511811023622047"/>
  <pageSetup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D1B2A"/>
  </sheetPr>
  <dimension ref="A1:C26"/>
  <sheetViews>
    <sheetView showGridLines="0" zoomScaleNormal="100" workbookViewId="0"/>
  </sheetViews>
  <sheetFormatPr defaultColWidth="8.7109375" defaultRowHeight="15"/>
  <cols>
    <col min="1" max="1" width="4" customWidth="1"/>
    <col min="2" max="2" width="97.42578125" bestFit="1" customWidth="1"/>
    <col min="3" max="3" width="4" customWidth="1"/>
  </cols>
  <sheetData>
    <row r="1" spans="1:3" ht="19.5" customHeight="1">
      <c r="A1" s="90"/>
      <c r="B1" s="90"/>
      <c r="C1" s="90"/>
    </row>
    <row r="2" spans="1:3" ht="36" customHeight="1">
      <c r="A2" s="90"/>
      <c r="B2" s="91" t="s">
        <v>560</v>
      </c>
      <c r="C2" s="90"/>
    </row>
    <row r="3" spans="1:3" ht="9.75" customHeight="1">
      <c r="A3" s="90"/>
      <c r="B3" s="90"/>
      <c r="C3" s="90"/>
    </row>
    <row r="4" spans="1:3" ht="6" customHeight="1">
      <c r="A4" s="90"/>
      <c r="B4" s="90"/>
      <c r="C4" s="90"/>
    </row>
    <row r="5" spans="1:3" ht="3.75" customHeight="1">
      <c r="A5" s="92"/>
      <c r="B5" s="92"/>
      <c r="C5" s="92"/>
    </row>
    <row r="6" spans="1:3" ht="13.5" customHeight="1"/>
    <row r="7" spans="1:3" ht="21.75" customHeight="1">
      <c r="B7" s="93" t="s">
        <v>561</v>
      </c>
    </row>
    <row r="8" spans="1:3" ht="60" customHeight="1">
      <c r="B8" s="94" t="s">
        <v>562</v>
      </c>
    </row>
    <row r="9" spans="1:3" ht="12" customHeight="1"/>
    <row r="10" spans="1:3" ht="24" customHeight="1">
      <c r="B10" s="95" t="s">
        <v>563</v>
      </c>
    </row>
    <row r="11" spans="1:3" ht="42" customHeight="1">
      <c r="B11" s="96" t="s">
        <v>564</v>
      </c>
    </row>
    <row r="13" spans="1:3" ht="24" customHeight="1">
      <c r="B13" s="95" t="s">
        <v>565</v>
      </c>
    </row>
    <row r="14" spans="1:3" ht="42" customHeight="1">
      <c r="B14" s="96" t="s">
        <v>566</v>
      </c>
    </row>
    <row r="16" spans="1:3" ht="24" customHeight="1">
      <c r="B16" s="95" t="s">
        <v>567</v>
      </c>
    </row>
    <row r="17" spans="2:2" ht="42" customHeight="1">
      <c r="B17" s="96" t="s">
        <v>579</v>
      </c>
    </row>
    <row r="19" spans="2:2" ht="24" customHeight="1">
      <c r="B19" s="95" t="s">
        <v>568</v>
      </c>
    </row>
    <row r="20" spans="2:2" ht="42" customHeight="1">
      <c r="B20" s="96" t="s">
        <v>569</v>
      </c>
    </row>
    <row r="22" spans="2:2" ht="24" customHeight="1">
      <c r="B22" s="95" t="s">
        <v>570</v>
      </c>
    </row>
    <row r="23" spans="2:2" ht="42" customHeight="1">
      <c r="B23" s="96" t="s">
        <v>571</v>
      </c>
    </row>
    <row r="25" spans="2:2" ht="14.25" customHeight="1">
      <c r="B25" s="95" t="s">
        <v>572</v>
      </c>
    </row>
    <row r="26" spans="2:2" ht="34.5" customHeight="1">
      <c r="B26" s="96" t="s">
        <v>573</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1B2A"/>
    <pageSetUpPr fitToPage="1"/>
  </sheetPr>
  <dimension ref="A1:F48"/>
  <sheetViews>
    <sheetView showGridLines="0" zoomScaleNormal="100" workbookViewId="0"/>
  </sheetViews>
  <sheetFormatPr defaultColWidth="8.7109375" defaultRowHeight="15"/>
  <cols>
    <col min="1" max="1" width="4" customWidth="1"/>
    <col min="2" max="2" width="30" customWidth="1"/>
    <col min="3" max="3" width="58" customWidth="1"/>
    <col min="4" max="4" width="4" customWidth="1"/>
  </cols>
  <sheetData>
    <row r="1" spans="1:6" ht="13.5" customHeight="1">
      <c r="A1" s="1"/>
      <c r="B1" s="1"/>
      <c r="C1" s="1"/>
      <c r="D1" s="1"/>
      <c r="E1" s="2"/>
      <c r="F1" s="2"/>
    </row>
    <row r="2" spans="1:6" ht="43.5" customHeight="1">
      <c r="A2" s="1"/>
      <c r="B2" s="17" t="s">
        <v>20</v>
      </c>
      <c r="C2" s="1"/>
      <c r="D2" s="1"/>
      <c r="E2" s="2"/>
      <c r="F2" s="2"/>
    </row>
    <row r="3" spans="1:6" ht="3.75" customHeight="1">
      <c r="A3" s="5"/>
      <c r="B3" s="5"/>
      <c r="C3" s="5"/>
      <c r="D3" s="5"/>
      <c r="E3" s="2"/>
      <c r="F3" s="2"/>
    </row>
    <row r="4" spans="1:6" ht="21.75" customHeight="1">
      <c r="A4" s="2"/>
      <c r="B4" s="2"/>
      <c r="C4" s="2"/>
      <c r="D4" s="2"/>
      <c r="E4" s="2"/>
      <c r="F4" s="2"/>
    </row>
    <row r="5" spans="1:6" ht="24" customHeight="1">
      <c r="A5" s="2"/>
      <c r="B5" s="12" t="s">
        <v>21</v>
      </c>
      <c r="C5" s="2"/>
      <c r="D5" s="2"/>
      <c r="E5" s="2"/>
      <c r="F5" s="2"/>
    </row>
    <row r="6" spans="1:6" ht="21.75" customHeight="1">
      <c r="A6" s="2"/>
      <c r="B6" s="18" t="str">
        <f>HYPERLINK("#'Executive Summary'!A1","Executive Summary")</f>
        <v>Executive Summary</v>
      </c>
      <c r="C6" s="7" t="s">
        <v>22</v>
      </c>
      <c r="D6" s="2"/>
      <c r="E6" s="2"/>
      <c r="F6" s="2"/>
    </row>
    <row r="7" spans="1:6" ht="21.75" customHeight="1">
      <c r="A7" s="2"/>
      <c r="B7" s="19" t="str">
        <f>HYPERLINK("#'Couverture'!A1","Couverture")</f>
        <v>Couverture</v>
      </c>
      <c r="C7" s="9" t="s">
        <v>23</v>
      </c>
      <c r="D7" s="2"/>
      <c r="E7" s="2"/>
      <c r="F7" s="2"/>
    </row>
    <row r="8" spans="1:6" ht="12" customHeight="1">
      <c r="A8" s="2"/>
      <c r="B8" s="2"/>
      <c r="C8" s="2"/>
      <c r="D8" s="2"/>
      <c r="E8" s="2"/>
      <c r="F8" s="2"/>
    </row>
    <row r="9" spans="1:6" ht="24" customHeight="1">
      <c r="A9" s="2"/>
      <c r="B9" s="12" t="s">
        <v>24</v>
      </c>
      <c r="C9" s="2"/>
      <c r="D9" s="2"/>
      <c r="E9" s="2"/>
      <c r="F9" s="2"/>
    </row>
    <row r="10" spans="1:6" ht="21.75" customHeight="1">
      <c r="A10" s="2"/>
      <c r="B10" s="20" t="str">
        <f>HYPERLINK("#'CR'!A1","CR")</f>
        <v>CR</v>
      </c>
      <c r="C10" s="7" t="s">
        <v>25</v>
      </c>
      <c r="D10" s="2"/>
      <c r="E10" s="2"/>
      <c r="F10" s="2"/>
    </row>
    <row r="11" spans="1:6" ht="21.75" customHeight="1">
      <c r="A11" s="2"/>
      <c r="B11" s="19" t="str">
        <f>HYPERLINK("#'Bilan'!A1","Bilan")</f>
        <v>Bilan</v>
      </c>
      <c r="C11" s="9" t="s">
        <v>26</v>
      </c>
      <c r="D11" s="2"/>
      <c r="E11" s="2"/>
      <c r="F11" s="2"/>
    </row>
    <row r="12" spans="1:6" ht="21.75" customHeight="1">
      <c r="A12" s="2"/>
      <c r="B12" s="20" t="str">
        <f>HYPERLINK("#'TFT'!A1","TFT")</f>
        <v>TFT</v>
      </c>
      <c r="C12" s="7" t="s">
        <v>27</v>
      </c>
      <c r="D12" s="2"/>
      <c r="E12" s="2"/>
      <c r="F12" s="2"/>
    </row>
    <row r="13" spans="1:6" ht="12" customHeight="1">
      <c r="A13" s="2"/>
      <c r="B13" s="2"/>
      <c r="C13" s="2"/>
      <c r="D13" s="2"/>
      <c r="E13" s="2"/>
      <c r="F13" s="2"/>
    </row>
    <row r="14" spans="1:6" ht="24" customHeight="1">
      <c r="A14" s="2"/>
      <c r="B14" s="12" t="s">
        <v>28</v>
      </c>
      <c r="C14" s="2"/>
      <c r="D14" s="2"/>
      <c r="E14" s="2"/>
      <c r="F14" s="2"/>
    </row>
    <row r="15" spans="1:6" ht="21.75" customHeight="1">
      <c r="A15" s="2"/>
      <c r="B15" s="100" t="str">
        <f>HYPERLINK("#'Effectifs'!A1","Effectifs")</f>
        <v>Effectifs</v>
      </c>
      <c r="C15" s="7" t="s">
        <v>578</v>
      </c>
      <c r="D15" s="2"/>
      <c r="E15" s="2"/>
      <c r="F15" s="2"/>
    </row>
    <row r="16" spans="1:6" ht="21.75" customHeight="1">
      <c r="A16" s="2"/>
      <c r="B16" s="19" t="str">
        <f>HYPERLINK("#'Charges_Personnel'!A1","Charges_Personnel")</f>
        <v>Charges_Personnel</v>
      </c>
      <c r="C16" s="9" t="s">
        <v>29</v>
      </c>
      <c r="D16" s="2"/>
      <c r="E16" s="2"/>
      <c r="F16" s="2"/>
    </row>
    <row r="17" spans="1:6" ht="21.75" customHeight="1">
      <c r="A17" s="2"/>
      <c r="B17" s="20" t="str">
        <f>HYPERLINK("#'Fournisseurs'!A1","Fournisseurs")</f>
        <v>Fournisseurs</v>
      </c>
      <c r="C17" s="7" t="s">
        <v>30</v>
      </c>
      <c r="D17" s="2"/>
      <c r="E17" s="2"/>
      <c r="F17" s="2"/>
    </row>
    <row r="18" spans="1:6" ht="21.75" customHeight="1">
      <c r="A18" s="2"/>
      <c r="B18" s="19" t="str">
        <f>HYPERLINK("#'Clients'!A1","Clients")</f>
        <v>Clients</v>
      </c>
      <c r="C18" s="9" t="s">
        <v>31</v>
      </c>
      <c r="D18" s="2"/>
      <c r="E18" s="2"/>
      <c r="F18" s="2"/>
    </row>
    <row r="19" spans="1:6" ht="12" customHeight="1">
      <c r="A19" s="2"/>
      <c r="B19" s="2"/>
      <c r="C19" s="2"/>
      <c r="D19" s="2"/>
      <c r="E19" s="2"/>
      <c r="F19" s="2"/>
    </row>
    <row r="20" spans="1:6" ht="24" customHeight="1">
      <c r="A20" s="2"/>
      <c r="B20" s="12" t="s">
        <v>32</v>
      </c>
      <c r="C20" s="2"/>
      <c r="D20" s="2"/>
      <c r="E20" s="2"/>
      <c r="F20" s="2"/>
    </row>
    <row r="21" spans="1:6" ht="21.75" customHeight="1">
      <c r="A21" s="2"/>
      <c r="B21" s="20" t="str">
        <f>HYPERLINK("#'Mapping'!A1","Mapping")</f>
        <v>Mapping</v>
      </c>
      <c r="C21" s="7" t="s">
        <v>33</v>
      </c>
      <c r="D21" s="2"/>
      <c r="E21" s="2"/>
      <c r="F21" s="2"/>
    </row>
    <row r="22" spans="1:6" ht="21.75" customHeight="1">
      <c r="A22" s="2"/>
      <c r="B22" s="19" t="str">
        <f>HYPERLINK("#'Balance_Générale'!A1","Balance_Générale")</f>
        <v>Balance_Générale</v>
      </c>
      <c r="C22" s="9" t="s">
        <v>34</v>
      </c>
      <c r="D22" s="2"/>
      <c r="E22" s="2"/>
      <c r="F22" s="2"/>
    </row>
    <row r="23" spans="1:6" ht="12" customHeight="1">
      <c r="A23" s="2"/>
      <c r="B23" s="2"/>
      <c r="C23" s="2"/>
      <c r="D23" s="2"/>
      <c r="E23" s="2"/>
      <c r="F23" s="2"/>
    </row>
    <row r="24" spans="1:6" ht="21.75" customHeight="1">
      <c r="A24" s="2"/>
      <c r="B24" s="19" t="str">
        <f>HYPERLINK("#'Avertissement'!A1","Avertissement")</f>
        <v>Avertissement</v>
      </c>
      <c r="C24" s="9" t="s">
        <v>35</v>
      </c>
      <c r="D24" s="2"/>
      <c r="E24" s="2"/>
      <c r="F24" s="2"/>
    </row>
    <row r="25" spans="1:6" ht="21.75" customHeight="1">
      <c r="A25" s="2"/>
      <c r="B25" s="2"/>
      <c r="C25" s="2"/>
      <c r="D25" s="2"/>
      <c r="E25" s="2"/>
      <c r="F25" s="2"/>
    </row>
    <row r="26" spans="1:6" ht="12" customHeight="1">
      <c r="A26" s="2"/>
      <c r="B26" s="2"/>
      <c r="C26" s="2"/>
      <c r="D26" s="2"/>
      <c r="E26" s="2"/>
      <c r="F26" s="2"/>
    </row>
    <row r="27" spans="1:6" ht="3.75" customHeight="1">
      <c r="A27" s="5"/>
      <c r="B27" s="5"/>
      <c r="C27" s="5"/>
      <c r="D27" s="5"/>
      <c r="E27" s="2"/>
      <c r="F27" s="2"/>
    </row>
    <row r="28" spans="1:6" ht="25.5" customHeight="1">
      <c r="A28" s="1"/>
      <c r="B28" s="101" t="s">
        <v>576</v>
      </c>
      <c r="C28" s="102"/>
      <c r="D28" s="1"/>
      <c r="E28" s="2"/>
      <c r="F28" s="2"/>
    </row>
    <row r="29" spans="1:6" ht="21.75" customHeight="1">
      <c r="A29" s="2"/>
      <c r="B29" s="2"/>
      <c r="C29" s="2"/>
      <c r="D29" s="2"/>
      <c r="E29" s="2"/>
      <c r="F29" s="2"/>
    </row>
    <row r="30" spans="1:6" ht="14.25" customHeight="1">
      <c r="A30" s="2"/>
      <c r="B30" s="2"/>
      <c r="C30" s="2"/>
      <c r="D30" s="2"/>
      <c r="E30" s="2"/>
      <c r="F30" s="2"/>
    </row>
    <row r="31" spans="1:6" ht="14.25" customHeight="1">
      <c r="A31" s="2"/>
      <c r="B31" s="2"/>
      <c r="C31" s="2"/>
      <c r="D31" s="2"/>
      <c r="E31" s="2"/>
      <c r="F31" s="2"/>
    </row>
    <row r="32" spans="1:6" ht="3.75" customHeight="1">
      <c r="A32" s="2"/>
      <c r="B32" s="2"/>
      <c r="C32" s="2"/>
      <c r="D32" s="2"/>
      <c r="E32" s="2"/>
      <c r="F32" s="2"/>
    </row>
    <row r="33" spans="1:6" ht="25.5" customHeight="1">
      <c r="A33" s="2"/>
      <c r="B33" s="2"/>
      <c r="C33" s="2"/>
      <c r="D33" s="2"/>
      <c r="E33" s="2"/>
      <c r="F33" s="2"/>
    </row>
    <row r="34" spans="1:6" ht="14.25" customHeight="1">
      <c r="A34" s="2"/>
      <c r="B34" s="2"/>
      <c r="C34" s="2"/>
      <c r="D34" s="2"/>
      <c r="E34" s="2"/>
      <c r="F34" s="2"/>
    </row>
    <row r="35" spans="1:6" ht="14.25" customHeight="1">
      <c r="A35" s="2"/>
      <c r="B35" s="2"/>
      <c r="C35" s="2"/>
      <c r="D35" s="2"/>
      <c r="E35" s="2"/>
      <c r="F35" s="2"/>
    </row>
    <row r="36" spans="1:6" ht="14.25" customHeight="1">
      <c r="A36" s="2"/>
      <c r="B36" s="2"/>
      <c r="C36" s="2"/>
      <c r="D36" s="2"/>
      <c r="E36" s="2"/>
      <c r="F36" s="2"/>
    </row>
    <row r="37" spans="1:6" ht="14.25" customHeight="1">
      <c r="A37" s="2"/>
      <c r="B37" s="2"/>
      <c r="C37" s="2"/>
      <c r="D37" s="2"/>
      <c r="E37" s="2"/>
      <c r="F37" s="2"/>
    </row>
    <row r="38" spans="1:6" ht="14.25" customHeight="1">
      <c r="A38" s="2"/>
      <c r="B38" s="2"/>
      <c r="C38" s="2"/>
      <c r="D38" s="2"/>
      <c r="E38" s="2"/>
      <c r="F38" s="2"/>
    </row>
    <row r="39" spans="1:6" ht="14.25" customHeight="1">
      <c r="A39" s="2"/>
      <c r="B39" s="2"/>
      <c r="C39" s="2"/>
      <c r="D39" s="2"/>
      <c r="E39" s="2"/>
      <c r="F39" s="2"/>
    </row>
    <row r="40" spans="1:6" ht="14.25" customHeight="1">
      <c r="A40" s="2"/>
      <c r="B40" s="2"/>
      <c r="C40" s="2"/>
      <c r="D40" s="2"/>
      <c r="E40" s="2"/>
      <c r="F40" s="2"/>
    </row>
    <row r="41" spans="1:6" ht="14.25" customHeight="1">
      <c r="A41" s="2"/>
      <c r="B41" s="2"/>
      <c r="C41" s="2"/>
      <c r="D41" s="2"/>
      <c r="E41" s="2"/>
      <c r="F41" s="2"/>
    </row>
    <row r="42" spans="1:6" ht="14.25" customHeight="1">
      <c r="A42" s="2"/>
      <c r="B42" s="2"/>
      <c r="C42" s="2"/>
      <c r="D42" s="2"/>
      <c r="E42" s="2"/>
      <c r="F42" s="2"/>
    </row>
    <row r="43" spans="1:6" ht="14.25" customHeight="1">
      <c r="A43" s="2"/>
      <c r="B43" s="2"/>
      <c r="C43" s="2"/>
      <c r="D43" s="2"/>
      <c r="E43" s="2"/>
      <c r="F43" s="2"/>
    </row>
    <row r="44" spans="1:6" ht="14.25" customHeight="1">
      <c r="A44" s="2"/>
      <c r="B44" s="2"/>
      <c r="C44" s="2"/>
      <c r="D44" s="2"/>
      <c r="E44" s="2"/>
      <c r="F44" s="2"/>
    </row>
    <row r="45" spans="1:6" ht="14.25" customHeight="1">
      <c r="A45" s="2"/>
      <c r="B45" s="2"/>
      <c r="C45" s="2"/>
      <c r="D45" s="2"/>
      <c r="E45" s="2"/>
      <c r="F45" s="2"/>
    </row>
    <row r="46" spans="1:6" ht="14.25" customHeight="1">
      <c r="A46" s="2"/>
      <c r="B46" s="2"/>
      <c r="C46" s="2"/>
      <c r="D46" s="2"/>
      <c r="E46" s="2"/>
      <c r="F46" s="2"/>
    </row>
    <row r="47" spans="1:6" ht="14.25" customHeight="1">
      <c r="A47" s="2"/>
      <c r="B47" s="2"/>
      <c r="C47" s="2"/>
      <c r="D47" s="2"/>
      <c r="E47" s="2"/>
      <c r="F47" s="2"/>
    </row>
    <row r="48" spans="1:6" ht="14.25" customHeight="1">
      <c r="A48" s="2"/>
      <c r="B48" s="2"/>
      <c r="C48" s="2"/>
      <c r="D48" s="2"/>
      <c r="E48" s="2"/>
      <c r="F48" s="2"/>
    </row>
  </sheetData>
  <mergeCells count="1">
    <mergeCell ref="B28:C28"/>
  </mergeCells>
  <hyperlinks>
    <hyperlink ref="B28" r:id="rId1" tooltip="Ouvrir aletheia-insight.com" xr:uid="{0C7D51F9-F945-41F8-BC6C-03439151FDD5}"/>
  </hyperlinks>
  <pageMargins left="0.3" right="0.3" top="0.4" bottom="0.4"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A9D8F"/>
  </sheetPr>
  <dimension ref="A1:L78"/>
  <sheetViews>
    <sheetView showGridLines="0" zoomScale="85" zoomScaleNormal="85" workbookViewId="0">
      <pane xSplit="8" ySplit="5" topLeftCell="I15" activePane="bottomRight" state="frozen"/>
      <selection pane="topRight" activeCell="I1" sqref="I1"/>
      <selection pane="bottomLeft" activeCell="A8" sqref="A8"/>
      <selection pane="bottomRight"/>
    </sheetView>
  </sheetViews>
  <sheetFormatPr defaultColWidth="8.7109375" defaultRowHeight="15" outlineLevelRow="1" outlineLevelCol="1"/>
  <cols>
    <col min="2" max="2" width="36" hidden="1" customWidth="1" outlineLevel="1"/>
    <col min="3" max="3" width="5.7109375" hidden="1" customWidth="1" outlineLevel="1"/>
    <col min="4" max="4" width="21.5703125" hidden="1" customWidth="1" outlineLevel="1"/>
    <col min="5" max="5" width="42" hidden="1" customWidth="1" outlineLevel="1"/>
    <col min="6" max="6" width="28.85546875" hidden="1" customWidth="1" outlineLevel="1"/>
    <col min="7" max="7" width="0.85546875" customWidth="1" collapsed="1"/>
    <col min="8" max="8" width="40" customWidth="1"/>
    <col min="9" max="11" width="16" customWidth="1"/>
    <col min="12" max="12" width="12" customWidth="1"/>
  </cols>
  <sheetData>
    <row r="1" spans="1:12" ht="21.75" customHeight="1">
      <c r="A1" s="21" t="s">
        <v>2</v>
      </c>
    </row>
    <row r="2" spans="1:12" ht="15.75" customHeight="1">
      <c r="A2" s="22" t="s">
        <v>36</v>
      </c>
    </row>
    <row r="3" spans="1:12" ht="7.5" customHeight="1"/>
    <row r="4" spans="1:12" ht="14.25" customHeight="1">
      <c r="H4" s="23" t="s">
        <v>37</v>
      </c>
    </row>
    <row r="5" spans="1:12" ht="14.25" customHeight="1">
      <c r="B5" s="24" t="s">
        <v>38</v>
      </c>
      <c r="C5" s="24" t="s">
        <v>39</v>
      </c>
      <c r="D5" s="24" t="s">
        <v>40</v>
      </c>
      <c r="E5" s="24" t="s">
        <v>41</v>
      </c>
      <c r="F5" s="24" t="s">
        <v>42</v>
      </c>
      <c r="H5" s="25" t="s">
        <v>43</v>
      </c>
      <c r="I5" s="26" t="s">
        <v>44</v>
      </c>
      <c r="J5" s="26" t="s">
        <v>45</v>
      </c>
      <c r="K5" s="26" t="s">
        <v>46</v>
      </c>
      <c r="L5" s="26" t="s">
        <v>47</v>
      </c>
    </row>
    <row r="6" spans="1:12" ht="14.25" hidden="1" customHeight="1" outlineLevel="1">
      <c r="B6" s="27" t="s">
        <v>48</v>
      </c>
      <c r="C6" s="27" t="s">
        <v>49</v>
      </c>
      <c r="D6" s="27" t="s">
        <v>50</v>
      </c>
      <c r="E6" s="27" t="s">
        <v>51</v>
      </c>
      <c r="F6" s="27" t="s">
        <v>51</v>
      </c>
      <c r="H6" s="28" t="str">
        <f>F6</f>
        <v>Prestations de services</v>
      </c>
      <c r="I6" s="29">
        <f>-SUMIFS(Balance_Générale!$C:$C,Balance_Générale!$G:$G,$C6,Balance_Générale!$H:$H,$D6,Balance_Générale!$I:$I,$E6,Balance_Générale!$J:$J,$F6)/1000</f>
        <v>297.2652172</v>
      </c>
      <c r="J6" s="29">
        <f>-SUMIFS(Balance_Générale!$D:$D,Balance_Générale!$G:$G,$C6,Balance_Générale!$H:$H,$D6,Balance_Générale!$I:$I,$E6,Balance_Générale!$J:$J,$F6)/1000</f>
        <v>364.06813130000006</v>
      </c>
      <c r="K6" s="29">
        <f>-SUMIFS(Balance_Générale!$E:$E,Balance_Générale!$G:$G,$C6,Balance_Générale!$H:$H,$D6,Balance_Générale!$I:$I,$E6,Balance_Générale!$J:$J,$F6)/1000</f>
        <v>420.36118439999996</v>
      </c>
      <c r="L6" s="30">
        <f t="shared" ref="L6:L37" si="0">IFERROR(IF(OR(AND(I6&gt;0,K6&gt;0),AND(I6&lt;0,K6&lt;0)),(K6/I6)^(1/2)-1,"n.a."),"n.a.")</f>
        <v>0.18915716148420114</v>
      </c>
    </row>
    <row r="7" spans="1:12" ht="14.25" hidden="1" customHeight="1" outlineLevel="1">
      <c r="B7" s="27" t="s">
        <v>48</v>
      </c>
      <c r="C7" s="27" t="s">
        <v>49</v>
      </c>
      <c r="D7" s="27" t="s">
        <v>50</v>
      </c>
      <c r="E7" s="27" t="s">
        <v>52</v>
      </c>
      <c r="F7" s="27" t="s">
        <v>52</v>
      </c>
      <c r="H7" s="28" t="str">
        <f>F7</f>
        <v>Ventes de produits finis</v>
      </c>
      <c r="I7" s="29">
        <f>-SUMIFS(Balance_Générale!$C:$C,Balance_Générale!$G:$G,$C7,Balance_Générale!$H:$H,$D7,Balance_Générale!$I:$I,$E7,Balance_Générale!$J:$J,$F7)/1000</f>
        <v>0</v>
      </c>
      <c r="J7" s="29">
        <f>-SUMIFS(Balance_Générale!$D:$D,Balance_Générale!$G:$G,$C7,Balance_Générale!$H:$H,$D7,Balance_Générale!$I:$I,$E7,Balance_Générale!$J:$J,$F7)/1000</f>
        <v>0</v>
      </c>
      <c r="K7" s="29">
        <f>-SUMIFS(Balance_Générale!$E:$E,Balance_Générale!$G:$G,$C7,Balance_Générale!$H:$H,$D7,Balance_Générale!$I:$I,$E7,Balance_Générale!$J:$J,$F7)/1000</f>
        <v>34.804435699999999</v>
      </c>
      <c r="L7" s="30" t="str">
        <f t="shared" si="0"/>
        <v>n.a.</v>
      </c>
    </row>
    <row r="8" spans="1:12" ht="14.25" customHeight="1" collapsed="1">
      <c r="B8" s="31" t="s">
        <v>53</v>
      </c>
      <c r="C8" s="31" t="s">
        <v>54</v>
      </c>
      <c r="D8" s="31" t="s">
        <v>54</v>
      </c>
      <c r="E8" s="31" t="s">
        <v>54</v>
      </c>
      <c r="F8" s="31" t="s">
        <v>54</v>
      </c>
      <c r="H8" s="32" t="s">
        <v>50</v>
      </c>
      <c r="I8" s="33">
        <f>SUM(I6:I7)</f>
        <v>297.2652172</v>
      </c>
      <c r="J8" s="33">
        <f>SUM(J6:J7)</f>
        <v>364.06813130000006</v>
      </c>
      <c r="K8" s="33">
        <f>SUM(K6:K7)</f>
        <v>455.16562009999996</v>
      </c>
      <c r="L8" s="34">
        <f t="shared" si="0"/>
        <v>0.23740731130901116</v>
      </c>
    </row>
    <row r="9" spans="1:12" ht="14.25" hidden="1" customHeight="1" outlineLevel="1">
      <c r="B9" s="27" t="s">
        <v>48</v>
      </c>
      <c r="C9" s="27" t="s">
        <v>49</v>
      </c>
      <c r="D9" s="27" t="s">
        <v>55</v>
      </c>
      <c r="E9" s="27" t="s">
        <v>56</v>
      </c>
      <c r="F9" s="27" t="s">
        <v>57</v>
      </c>
      <c r="H9" s="35" t="str">
        <f>F9</f>
        <v>Achat de matières premières</v>
      </c>
      <c r="I9" s="29">
        <f>-SUMIFS(Balance_Générale!$C:$C,Balance_Générale!$G:$G,$C9,Balance_Générale!$H:$H,$D9,Balance_Générale!$I:$I,$E9,Balance_Générale!$J:$J,$F9)/1000</f>
        <v>-12.755042</v>
      </c>
      <c r="J9" s="29">
        <f>-SUMIFS(Balance_Générale!$D:$D,Balance_Générale!$G:$G,$C9,Balance_Générale!$H:$H,$D9,Balance_Générale!$I:$I,$E9,Balance_Générale!$J:$J,$F9)/1000</f>
        <v>-4.4047619999999998</v>
      </c>
      <c r="K9" s="29">
        <f>-SUMIFS(Balance_Générale!$E:$E,Balance_Générale!$G:$G,$C9,Balance_Générale!$H:$H,$D9,Balance_Générale!$I:$I,$E9,Balance_Générale!$J:$J,$F9)/1000</f>
        <v>-17.669124</v>
      </c>
      <c r="L9" s="30">
        <f t="shared" si="0"/>
        <v>0.17697316975510247</v>
      </c>
    </row>
    <row r="10" spans="1:12" ht="14.25" hidden="1" customHeight="1" outlineLevel="1">
      <c r="B10" s="27" t="s">
        <v>48</v>
      </c>
      <c r="C10" s="27" t="s">
        <v>49</v>
      </c>
      <c r="D10" s="27" t="s">
        <v>55</v>
      </c>
      <c r="E10" s="27" t="s">
        <v>56</v>
      </c>
      <c r="F10" s="27" t="s">
        <v>58</v>
      </c>
      <c r="H10" s="35" t="str">
        <f>F10</f>
        <v>Variation des stocks de matières premières</v>
      </c>
      <c r="I10" s="29">
        <f>-SUMIFS(Balance_Générale!$C:$C,Balance_Générale!$G:$G,$C10,Balance_Générale!$H:$H,$D10,Balance_Générale!$I:$I,$E10,Balance_Générale!$J:$J,$F10)/1000</f>
        <v>4.1718872000000005</v>
      </c>
      <c r="J10" s="29">
        <f>-SUMIFS(Balance_Générale!$D:$D,Balance_Générale!$G:$G,$C10,Balance_Générale!$H:$H,$D10,Balance_Générale!$I:$I,$E10,Balance_Générale!$J:$J,$F10)/1000</f>
        <v>-4.4337803999999998</v>
      </c>
      <c r="K10" s="29">
        <f>-SUMIFS(Balance_Générale!$E:$E,Balance_Générale!$G:$G,$C10,Balance_Générale!$H:$H,$D10,Balance_Générale!$I:$I,$E10,Balance_Générale!$J:$J,$F10)/1000</f>
        <v>4.3419957999999994</v>
      </c>
      <c r="L10" s="30">
        <f t="shared" si="0"/>
        <v>2.0183795152131756E-2</v>
      </c>
    </row>
    <row r="11" spans="1:12" ht="14.25" hidden="1" customHeight="1" outlineLevel="1">
      <c r="B11" s="27" t="s">
        <v>48</v>
      </c>
      <c r="C11" s="27" t="s">
        <v>49</v>
      </c>
      <c r="D11" s="27" t="s">
        <v>55</v>
      </c>
      <c r="E11" s="27" t="s">
        <v>56</v>
      </c>
      <c r="F11" s="27" t="s">
        <v>59</v>
      </c>
      <c r="H11" s="35" t="str">
        <f>F11</f>
        <v>Fournitures d'entretien</v>
      </c>
      <c r="I11" s="29">
        <f>-SUMIFS(Balance_Générale!$C:$C,Balance_Générale!$G:$G,$C11,Balance_Générale!$H:$H,$D11,Balance_Générale!$I:$I,$E11,Balance_Générale!$J:$J,$F11)/1000</f>
        <v>-0.60206759999999993</v>
      </c>
      <c r="J11" s="29">
        <f>-SUMIFS(Balance_Générale!$D:$D,Balance_Générale!$G:$G,$C11,Balance_Générale!$H:$H,$D11,Balance_Générale!$I:$I,$E11,Balance_Générale!$J:$J,$F11)/1000</f>
        <v>-0.22322339999999999</v>
      </c>
      <c r="K11" s="29">
        <f>-SUMIFS(Balance_Générale!$E:$E,Balance_Générale!$G:$G,$C11,Balance_Générale!$H:$H,$D11,Balance_Générale!$I:$I,$E11,Balance_Générale!$J:$J,$F11)/1000</f>
        <v>-0.53699019999999997</v>
      </c>
      <c r="L11" s="30">
        <f t="shared" si="0"/>
        <v>-5.5590054949982703E-2</v>
      </c>
    </row>
    <row r="12" spans="1:12" ht="14.25" hidden="1" customHeight="1" outlineLevel="1">
      <c r="B12" s="27" t="s">
        <v>48</v>
      </c>
      <c r="C12" s="27" t="s">
        <v>49</v>
      </c>
      <c r="D12" s="27" t="s">
        <v>55</v>
      </c>
      <c r="E12" s="27" t="s">
        <v>60</v>
      </c>
      <c r="F12" s="27" t="s">
        <v>61</v>
      </c>
      <c r="H12" s="35" t="str">
        <f>F12</f>
        <v>Coûts de sous-traitance</v>
      </c>
      <c r="I12" s="29">
        <f>-SUMIFS(Balance_Générale!$C:$C,Balance_Générale!$G:$G,$C12,Balance_Générale!$H:$H,$D12,Balance_Générale!$I:$I,$E12,Balance_Générale!$J:$J,$F12)/1000</f>
        <v>-9.9108750000000008</v>
      </c>
      <c r="J12" s="29">
        <f>-SUMIFS(Balance_Générale!$D:$D,Balance_Générale!$G:$G,$C12,Balance_Générale!$H:$H,$D12,Balance_Générale!$I:$I,$E12,Balance_Générale!$J:$J,$F12)/1000</f>
        <v>-7.2749300000000003</v>
      </c>
      <c r="K12" s="29">
        <f>-SUMIFS(Balance_Générale!$E:$E,Balance_Générale!$G:$G,$C12,Balance_Générale!$H:$H,$D12,Balance_Générale!$I:$I,$E12,Balance_Générale!$J:$J,$F12)/1000</f>
        <v>-14.566979999999999</v>
      </c>
      <c r="L12" s="30">
        <f t="shared" si="0"/>
        <v>0.21235208204968337</v>
      </c>
    </row>
    <row r="13" spans="1:12" ht="14.25" customHeight="1" collapsed="1">
      <c r="B13" s="27"/>
      <c r="C13" s="27"/>
      <c r="D13" s="27"/>
      <c r="E13" s="27"/>
      <c r="F13" s="27"/>
      <c r="H13" s="36" t="s">
        <v>62</v>
      </c>
      <c r="I13" s="29">
        <f>SUM(I9:I12)</f>
        <v>-19.096097399999998</v>
      </c>
      <c r="J13" s="29">
        <f>SUM(J9:J12)</f>
        <v>-16.336695800000001</v>
      </c>
      <c r="K13" s="29">
        <f>SUM(K9:K12)</f>
        <v>-28.4310984</v>
      </c>
      <c r="L13" s="30">
        <f t="shared" si="0"/>
        <v>0.22018170392250624</v>
      </c>
    </row>
    <row r="14" spans="1:12" ht="14.25" customHeight="1">
      <c r="B14" s="31" t="s">
        <v>63</v>
      </c>
      <c r="C14" s="27"/>
      <c r="D14" s="27"/>
      <c r="E14" s="27"/>
      <c r="F14" s="27"/>
      <c r="H14" s="36" t="s">
        <v>64</v>
      </c>
      <c r="I14" s="29">
        <f>SUMIFS(Charges_Personnel!E:E,Charges_Personnel!$B:$B,$B14)</f>
        <v>0</v>
      </c>
      <c r="J14" s="29">
        <f>SUMIFS(Charges_Personnel!F:F,Charges_Personnel!$B:$B,$B14)</f>
        <v>-2.3560165815051026</v>
      </c>
      <c r="K14" s="29">
        <f>SUMIFS(Charges_Personnel!G:G,Charges_Personnel!$B:$B,$B14)</f>
        <v>-14.539954246432734</v>
      </c>
      <c r="L14" s="30" t="str">
        <f t="shared" si="0"/>
        <v>n.a.</v>
      </c>
    </row>
    <row r="15" spans="1:12" ht="14.25" customHeight="1">
      <c r="B15" s="31" t="s">
        <v>65</v>
      </c>
      <c r="C15" s="31" t="s">
        <v>54</v>
      </c>
      <c r="D15" s="31" t="s">
        <v>54</v>
      </c>
      <c r="E15" s="31" t="s">
        <v>54</v>
      </c>
      <c r="F15" s="31" t="s">
        <v>54</v>
      </c>
      <c r="H15" t="s">
        <v>66</v>
      </c>
      <c r="I15" s="37">
        <f>SUM(I13:I14)</f>
        <v>-19.096097399999998</v>
      </c>
      <c r="J15" s="37">
        <f>SUM(J13:J14)</f>
        <v>-18.692712381505103</v>
      </c>
      <c r="K15" s="37">
        <f>SUM(K13:K14)</f>
        <v>-42.971052646432732</v>
      </c>
      <c r="L15" s="38">
        <f t="shared" si="0"/>
        <v>0.50008436907993592</v>
      </c>
    </row>
    <row r="16" spans="1:12" ht="14.25" customHeight="1">
      <c r="B16" s="31" t="s">
        <v>67</v>
      </c>
      <c r="C16" s="31"/>
      <c r="D16" s="31"/>
      <c r="E16" s="31"/>
      <c r="F16" s="31"/>
      <c r="H16" s="32" t="s">
        <v>68</v>
      </c>
      <c r="I16" s="33">
        <f>SUM(I15,I8)</f>
        <v>278.16911979999998</v>
      </c>
      <c r="J16" s="33">
        <f>SUM(J15,J8)</f>
        <v>345.37541891849497</v>
      </c>
      <c r="K16" s="33">
        <f>SUM(K15,K8)</f>
        <v>412.19456745356723</v>
      </c>
      <c r="L16" s="34">
        <f t="shared" si="0"/>
        <v>0.21729734189429561</v>
      </c>
    </row>
    <row r="17" spans="2:12" ht="14.25" hidden="1" customHeight="1" outlineLevel="1">
      <c r="B17" s="27" t="s">
        <v>48</v>
      </c>
      <c r="C17" s="27" t="s">
        <v>49</v>
      </c>
      <c r="D17" s="27" t="s">
        <v>69</v>
      </c>
      <c r="E17" s="27" t="s">
        <v>56</v>
      </c>
      <c r="F17" s="27" t="s">
        <v>70</v>
      </c>
      <c r="H17" s="35" t="str">
        <f>F17</f>
        <v>Déplacements &amp; Missions</v>
      </c>
      <c r="I17" s="29">
        <f>-SUMIFS(Balance_Générale!$C:$C,Balance_Générale!$G:$G,$C17,Balance_Générale!$H:$H,$D17,Balance_Générale!$I:$I,$E17,Balance_Générale!$J:$J,$F17)/1000</f>
        <v>-14.689067000000001</v>
      </c>
      <c r="J17" s="29">
        <f>-SUMIFS(Balance_Générale!$D:$D,Balance_Générale!$G:$G,$C17,Balance_Générale!$H:$H,$D17,Balance_Générale!$I:$I,$E17,Balance_Générale!$J:$J,$F17)/1000</f>
        <v>-18.8185608</v>
      </c>
      <c r="K17" s="29">
        <f>-SUMIFS(Balance_Générale!$E:$E,Balance_Générale!$G:$G,$C17,Balance_Générale!$H:$H,$D17,Balance_Générale!$I:$I,$E17,Balance_Générale!$J:$J,$F17)/1000</f>
        <v>-20.0635914</v>
      </c>
      <c r="L17" s="30">
        <f t="shared" si="0"/>
        <v>0.16871126861384544</v>
      </c>
    </row>
    <row r="18" spans="2:12" ht="14.25" hidden="1" customHeight="1" outlineLevel="1">
      <c r="B18" s="27" t="s">
        <v>48</v>
      </c>
      <c r="C18" s="27" t="s">
        <v>49</v>
      </c>
      <c r="D18" s="27" t="s">
        <v>69</v>
      </c>
      <c r="E18" s="27" t="s">
        <v>56</v>
      </c>
      <c r="F18" s="27" t="s">
        <v>71</v>
      </c>
      <c r="H18" s="35" t="str">
        <f>F18</f>
        <v>Annonces et insertions</v>
      </c>
      <c r="I18" s="29">
        <f>-SUMIFS(Balance_Générale!$C:$C,Balance_Générale!$G:$G,$C18,Balance_Générale!$H:$H,$D18,Balance_Générale!$I:$I,$E18,Balance_Générale!$J:$J,$F18)/1000</f>
        <v>-1.6102002</v>
      </c>
      <c r="J18" s="29">
        <f>-SUMIFS(Balance_Générale!$D:$D,Balance_Générale!$G:$G,$C18,Balance_Générale!$H:$H,$D18,Balance_Générale!$I:$I,$E18,Balance_Générale!$J:$J,$F18)/1000</f>
        <v>-1.2258241000000001</v>
      </c>
      <c r="K18" s="29">
        <f>-SUMIFS(Balance_Générale!$E:$E,Balance_Générale!$G:$G,$C18,Balance_Générale!$H:$H,$D18,Balance_Générale!$I:$I,$E18,Balance_Générale!$J:$J,$F18)/1000</f>
        <v>-1.7610059999999998</v>
      </c>
      <c r="L18" s="30">
        <f t="shared" si="0"/>
        <v>4.5780355891727575E-2</v>
      </c>
    </row>
    <row r="19" spans="2:12" ht="14.25" customHeight="1" collapsed="1">
      <c r="B19" s="27"/>
      <c r="C19" s="27"/>
      <c r="D19" s="27"/>
      <c r="E19" s="27"/>
      <c r="F19" s="27"/>
      <c r="H19" s="36" t="s">
        <v>72</v>
      </c>
      <c r="I19" s="29">
        <f>SUM(I17:I18)</f>
        <v>-16.299267200000003</v>
      </c>
      <c r="J19" s="29">
        <f>SUM(J17:J18)</f>
        <v>-20.044384900000001</v>
      </c>
      <c r="K19" s="29">
        <f>SUM(K17:K18)</f>
        <v>-21.824597399999998</v>
      </c>
      <c r="L19" s="30">
        <f t="shared" si="0"/>
        <v>0.15714845762778307</v>
      </c>
    </row>
    <row r="20" spans="2:12" ht="14.25" customHeight="1">
      <c r="B20" s="31" t="s">
        <v>73</v>
      </c>
      <c r="C20" s="27"/>
      <c r="D20" s="27"/>
      <c r="E20" s="27"/>
      <c r="F20" s="27"/>
      <c r="H20" s="36" t="s">
        <v>74</v>
      </c>
      <c r="I20" s="29">
        <f>SUMIFS(Charges_Personnel!E:E,Charges_Personnel!$B:$B,$B20)</f>
        <v>0</v>
      </c>
      <c r="J20" s="29">
        <f>SUMIFS(Charges_Personnel!F:F,Charges_Personnel!$B:$B,$B20)</f>
        <v>0</v>
      </c>
      <c r="K20" s="29">
        <f>SUMIFS(Charges_Personnel!G:G,Charges_Personnel!$B:$B,$B20)</f>
        <v>-13.213114315199265</v>
      </c>
      <c r="L20" s="30" t="str">
        <f t="shared" si="0"/>
        <v>n.a.</v>
      </c>
    </row>
    <row r="21" spans="2:12" ht="14.25" customHeight="1">
      <c r="B21" s="31" t="s">
        <v>75</v>
      </c>
      <c r="C21" s="31" t="s">
        <v>54</v>
      </c>
      <c r="D21" s="31" t="s">
        <v>54</v>
      </c>
      <c r="E21" s="31" t="s">
        <v>54</v>
      </c>
      <c r="F21" s="31" t="s">
        <v>54</v>
      </c>
      <c r="H21" t="s">
        <v>76</v>
      </c>
      <c r="I21" s="37">
        <f>SUM(I19:I20)</f>
        <v>-16.299267200000003</v>
      </c>
      <c r="J21" s="37">
        <f>SUM(J19:J20)</f>
        <v>-20.044384900000001</v>
      </c>
      <c r="K21" s="37">
        <f>SUM(K19:K20)</f>
        <v>-35.037711715199265</v>
      </c>
      <c r="L21" s="38">
        <f t="shared" si="0"/>
        <v>0.46616830816750454</v>
      </c>
    </row>
    <row r="22" spans="2:12" ht="14.25" customHeight="1">
      <c r="B22" s="31" t="s">
        <v>77</v>
      </c>
      <c r="C22" s="31"/>
      <c r="D22" s="31"/>
      <c r="E22" s="31"/>
      <c r="F22" s="31"/>
      <c r="H22" s="39" t="s">
        <v>78</v>
      </c>
      <c r="I22" s="29">
        <f>SUMIFS(Charges_Personnel!E:E,Charges_Personnel!$B:$B,$B22)</f>
        <v>-19.918157400273735</v>
      </c>
      <c r="J22" s="29">
        <f>SUMIFS(Charges_Personnel!F:F,Charges_Personnel!$B:$B,$B22)</f>
        <v>-10.739052325000003</v>
      </c>
      <c r="K22" s="29">
        <f>SUMIFS(Charges_Personnel!G:G,Charges_Personnel!$B:$B,$B22)</f>
        <v>-17.387154065826433</v>
      </c>
      <c r="L22" s="30">
        <f t="shared" si="0"/>
        <v>-6.5692852596742402E-2</v>
      </c>
    </row>
    <row r="23" spans="2:12" ht="14.25" customHeight="1">
      <c r="B23" s="31" t="s">
        <v>79</v>
      </c>
      <c r="C23" s="31"/>
      <c r="D23" s="31"/>
      <c r="E23" s="31"/>
      <c r="F23" s="31"/>
      <c r="H23" t="s">
        <v>80</v>
      </c>
      <c r="I23" s="37">
        <f>SUM(I22)</f>
        <v>-19.918157400273735</v>
      </c>
      <c r="J23" s="37">
        <f>SUM(J22)</f>
        <v>-10.739052325000003</v>
      </c>
      <c r="K23" s="37">
        <f>SUM(K22)</f>
        <v>-17.387154065826433</v>
      </c>
      <c r="L23" s="38">
        <f t="shared" si="0"/>
        <v>-6.5692852596742402E-2</v>
      </c>
    </row>
    <row r="24" spans="2:12" ht="14.25" hidden="1" customHeight="1" outlineLevel="1">
      <c r="B24" s="27" t="s">
        <v>48</v>
      </c>
      <c r="C24" s="27" t="s">
        <v>49</v>
      </c>
      <c r="D24" s="27" t="s">
        <v>81</v>
      </c>
      <c r="E24" s="27" t="s">
        <v>56</v>
      </c>
      <c r="F24" s="27" t="s">
        <v>82</v>
      </c>
      <c r="H24" s="35" t="str">
        <f t="shared" ref="H24:H43" si="1">F24</f>
        <v>Honoraires professionnels</v>
      </c>
      <c r="I24" s="29">
        <f>-SUMIFS(Balance_Générale!$C:$C,Balance_Générale!$G:$G,$C24,Balance_Générale!$H:$H,$D24,Balance_Générale!$I:$I,$E24,Balance_Générale!$J:$J,$F24)/1000</f>
        <v>-98.908852600000003</v>
      </c>
      <c r="J24" s="29">
        <f>-SUMIFS(Balance_Générale!$D:$D,Balance_Générale!$G:$G,$C24,Balance_Générale!$H:$H,$D24,Balance_Générale!$I:$I,$E24,Balance_Générale!$J:$J,$F24)/1000</f>
        <v>-159.67601440000001</v>
      </c>
      <c r="K24" s="29">
        <f>-SUMIFS(Balance_Générale!$E:$E,Balance_Générale!$G:$G,$C24,Balance_Générale!$H:$H,$D24,Balance_Générale!$I:$I,$E24,Balance_Générale!$J:$J,$F24)/1000</f>
        <v>-183.5379025</v>
      </c>
      <c r="L24" s="30">
        <f t="shared" si="0"/>
        <v>0.36221387708079145</v>
      </c>
    </row>
    <row r="25" spans="2:12" ht="14.25" hidden="1" customHeight="1" outlineLevel="1">
      <c r="B25" s="27" t="s">
        <v>48</v>
      </c>
      <c r="C25" s="27" t="s">
        <v>49</v>
      </c>
      <c r="D25" s="27" t="s">
        <v>81</v>
      </c>
      <c r="E25" s="27" t="s">
        <v>56</v>
      </c>
      <c r="F25" s="27" t="s">
        <v>83</v>
      </c>
      <c r="H25" s="35" t="str">
        <f t="shared" si="1"/>
        <v>Entretien &amp; Réparations</v>
      </c>
      <c r="I25" s="29">
        <f>-SUMIFS(Balance_Générale!$C:$C,Balance_Générale!$G:$G,$C25,Balance_Générale!$H:$H,$D25,Balance_Générale!$I:$I,$E25,Balance_Générale!$J:$J,$F25)/1000</f>
        <v>-25.513615000000001</v>
      </c>
      <c r="J25" s="29">
        <f>-SUMIFS(Balance_Générale!$D:$D,Balance_Générale!$G:$G,$C25,Balance_Générale!$H:$H,$D25,Balance_Générale!$I:$I,$E25,Balance_Générale!$J:$J,$F25)/1000</f>
        <v>-26.471264999999999</v>
      </c>
      <c r="K25" s="29">
        <f>-SUMIFS(Balance_Générale!$E:$E,Balance_Générale!$G:$G,$C25,Balance_Générale!$H:$H,$D25,Balance_Générale!$I:$I,$E25,Balance_Générale!$J:$J,$F25)/1000</f>
        <v>-32.3568</v>
      </c>
      <c r="L25" s="30">
        <f t="shared" si="0"/>
        <v>0.12615140600311925</v>
      </c>
    </row>
    <row r="26" spans="2:12" ht="14.25" hidden="1" customHeight="1" outlineLevel="1">
      <c r="B26" s="27" t="s">
        <v>48</v>
      </c>
      <c r="C26" s="27" t="s">
        <v>49</v>
      </c>
      <c r="D26" s="27" t="s">
        <v>81</v>
      </c>
      <c r="E26" s="27" t="s">
        <v>56</v>
      </c>
      <c r="F26" s="27" t="s">
        <v>84</v>
      </c>
      <c r="H26" s="35" t="str">
        <f t="shared" si="1"/>
        <v>Loyer immobilier</v>
      </c>
      <c r="I26" s="29">
        <f>-SUMIFS(Balance_Générale!$C:$C,Balance_Générale!$G:$G,$C26,Balance_Générale!$H:$H,$D26,Balance_Générale!$I:$I,$E26,Balance_Générale!$J:$J,$F26)/1000</f>
        <v>-8.6242000000000001</v>
      </c>
      <c r="J26" s="29">
        <f>-SUMIFS(Balance_Générale!$D:$D,Balance_Générale!$G:$G,$C26,Balance_Générale!$H:$H,$D26,Balance_Générale!$I:$I,$E26,Balance_Générale!$J:$J,$F26)/1000</f>
        <v>-7.4054700000000002</v>
      </c>
      <c r="K26" s="29">
        <f>-SUMIFS(Balance_Générale!$E:$E,Balance_Générale!$G:$G,$C26,Balance_Générale!$H:$H,$D26,Balance_Générale!$I:$I,$E26,Balance_Générale!$J:$J,$F26)/1000</f>
        <v>-12.3032345</v>
      </c>
      <c r="L26" s="30">
        <f t="shared" si="0"/>
        <v>0.194401227730435</v>
      </c>
    </row>
    <row r="27" spans="2:12" ht="14.25" hidden="1" customHeight="1" outlineLevel="1">
      <c r="B27" s="27" t="s">
        <v>48</v>
      </c>
      <c r="C27" s="27" t="s">
        <v>49</v>
      </c>
      <c r="D27" s="27" t="s">
        <v>81</v>
      </c>
      <c r="E27" s="27" t="s">
        <v>56</v>
      </c>
      <c r="F27" s="27" t="s">
        <v>85</v>
      </c>
      <c r="H27" s="35" t="str">
        <f t="shared" si="1"/>
        <v>Loyer</v>
      </c>
      <c r="I27" s="29">
        <f>-SUMIFS(Balance_Générale!$C:$C,Balance_Générale!$G:$G,$C27,Balance_Générale!$H:$H,$D27,Balance_Générale!$I:$I,$E27,Balance_Générale!$J:$J,$F27)/1000</f>
        <v>-11.10446</v>
      </c>
      <c r="J27" s="29">
        <f>-SUMIFS(Balance_Générale!$D:$D,Balance_Générale!$G:$G,$C27,Balance_Générale!$H:$H,$D27,Balance_Générale!$I:$I,$E27,Balance_Générale!$J:$J,$F27)/1000</f>
        <v>-10.313098699999999</v>
      </c>
      <c r="K27" s="29">
        <f>-SUMIFS(Balance_Générale!$E:$E,Balance_Générale!$G:$G,$C27,Balance_Générale!$H:$H,$D27,Balance_Générale!$I:$I,$E27,Balance_Générale!$J:$J,$F27)/1000</f>
        <v>-10.179605499999999</v>
      </c>
      <c r="L27" s="30">
        <f t="shared" si="0"/>
        <v>-4.2548570660009055E-2</v>
      </c>
    </row>
    <row r="28" spans="2:12" ht="14.25" hidden="1" customHeight="1" outlineLevel="1">
      <c r="B28" s="27" t="s">
        <v>48</v>
      </c>
      <c r="C28" s="27" t="s">
        <v>49</v>
      </c>
      <c r="D28" s="27" t="s">
        <v>81</v>
      </c>
      <c r="E28" s="27" t="s">
        <v>56</v>
      </c>
      <c r="F28" s="27" t="s">
        <v>86</v>
      </c>
      <c r="H28" s="35" t="str">
        <f t="shared" si="1"/>
        <v>Réceptions</v>
      </c>
      <c r="I28" s="29">
        <f>-SUMIFS(Balance_Générale!$C:$C,Balance_Générale!$G:$G,$C28,Balance_Générale!$H:$H,$D28,Balance_Générale!$I:$I,$E28,Balance_Générale!$J:$J,$F28)/1000</f>
        <v>-1.1110344999999999</v>
      </c>
      <c r="J28" s="29">
        <f>-SUMIFS(Balance_Générale!$D:$D,Balance_Générale!$G:$G,$C28,Balance_Générale!$H:$H,$D28,Balance_Générale!$I:$I,$E28,Balance_Générale!$J:$J,$F28)/1000</f>
        <v>-3.0521963999999997</v>
      </c>
      <c r="K28" s="29">
        <f>-SUMIFS(Balance_Générale!$E:$E,Balance_Générale!$G:$G,$C28,Balance_Générale!$H:$H,$D28,Balance_Générale!$I:$I,$E28,Balance_Générale!$J:$J,$F28)/1000</f>
        <v>-4.6610804999999997</v>
      </c>
      <c r="L28" s="30">
        <f t="shared" si="0"/>
        <v>1.0482338033767364</v>
      </c>
    </row>
    <row r="29" spans="2:12" ht="14.25" hidden="1" customHeight="1" outlineLevel="1">
      <c r="B29" s="27" t="s">
        <v>48</v>
      </c>
      <c r="C29" s="27" t="s">
        <v>49</v>
      </c>
      <c r="D29" s="27" t="s">
        <v>81</v>
      </c>
      <c r="E29" s="27" t="s">
        <v>56</v>
      </c>
      <c r="F29" s="27" t="s">
        <v>87</v>
      </c>
      <c r="H29" s="35" t="str">
        <f t="shared" si="1"/>
        <v>Frais de dossier de prêt</v>
      </c>
      <c r="I29" s="29">
        <f>-SUMIFS(Balance_Générale!$C:$C,Balance_Générale!$G:$G,$C29,Balance_Générale!$H:$H,$D29,Balance_Générale!$I:$I,$E29,Balance_Générale!$J:$J,$F29)/1000</f>
        <v>-0.44939999999999997</v>
      </c>
      <c r="J29" s="29">
        <f>-SUMIFS(Balance_Générale!$D:$D,Balance_Générale!$G:$G,$C29,Balance_Générale!$H:$H,$D29,Balance_Générale!$I:$I,$E29,Balance_Générale!$J:$J,$F29)/1000</f>
        <v>-0.44939999999999997</v>
      </c>
      <c r="K29" s="29">
        <f>-SUMIFS(Balance_Générale!$E:$E,Balance_Générale!$G:$G,$C29,Balance_Générale!$H:$H,$D29,Balance_Générale!$I:$I,$E29,Balance_Générale!$J:$J,$F29)/1000</f>
        <v>-3.2146330999999999</v>
      </c>
      <c r="L29" s="30">
        <f t="shared" si="0"/>
        <v>1.6745404589698523</v>
      </c>
    </row>
    <row r="30" spans="2:12" ht="14.25" hidden="1" customHeight="1" outlineLevel="1">
      <c r="B30" s="27" t="s">
        <v>48</v>
      </c>
      <c r="C30" s="27" t="s">
        <v>49</v>
      </c>
      <c r="D30" s="27" t="s">
        <v>81</v>
      </c>
      <c r="E30" s="27" t="s">
        <v>56</v>
      </c>
      <c r="F30" s="27" t="s">
        <v>88</v>
      </c>
      <c r="H30" s="35" t="str">
        <f t="shared" si="1"/>
        <v>Énergie &amp; Fluides</v>
      </c>
      <c r="I30" s="29">
        <f>-SUMIFS(Balance_Générale!$C:$C,Balance_Générale!$G:$G,$C30,Balance_Générale!$H:$H,$D30,Balance_Générale!$I:$I,$E30,Balance_Générale!$J:$J,$F30)/1000</f>
        <v>-3.7617240999999999</v>
      </c>
      <c r="J30" s="29">
        <f>-SUMIFS(Balance_Générale!$D:$D,Balance_Générale!$G:$G,$C30,Balance_Générale!$H:$H,$D30,Balance_Générale!$I:$I,$E30,Balance_Générale!$J:$J,$F30)/1000</f>
        <v>-1.0419767000000002</v>
      </c>
      <c r="K30" s="29">
        <f>-SUMIFS(Balance_Générale!$E:$E,Balance_Générale!$G:$G,$C30,Balance_Générale!$H:$H,$D30,Balance_Générale!$I:$I,$E30,Balance_Générale!$J:$J,$F30)/1000</f>
        <v>-3.1156902</v>
      </c>
      <c r="L30" s="30">
        <f t="shared" si="0"/>
        <v>-8.9911420779007711E-2</v>
      </c>
    </row>
    <row r="31" spans="2:12" ht="14.25" hidden="1" customHeight="1" outlineLevel="1">
      <c r="B31" s="27" t="s">
        <v>48</v>
      </c>
      <c r="C31" s="27" t="s">
        <v>49</v>
      </c>
      <c r="D31" s="27" t="s">
        <v>81</v>
      </c>
      <c r="E31" s="27" t="s">
        <v>56</v>
      </c>
      <c r="F31" s="27" t="s">
        <v>89</v>
      </c>
      <c r="H31" s="35" t="str">
        <f t="shared" si="1"/>
        <v>Loyer de matériel</v>
      </c>
      <c r="I31" s="29">
        <f>-SUMIFS(Balance_Générale!$C:$C,Balance_Générale!$G:$G,$C31,Balance_Générale!$H:$H,$D31,Balance_Générale!$I:$I,$E31,Balance_Générale!$J:$J,$F31)/1000</f>
        <v>-2.9425E-2</v>
      </c>
      <c r="J31" s="29">
        <f>-SUMIFS(Balance_Générale!$D:$D,Balance_Générale!$G:$G,$C31,Balance_Générale!$H:$H,$D31,Balance_Générale!$I:$I,$E31,Balance_Générale!$J:$J,$F31)/1000</f>
        <v>-5.3499999999999999E-2</v>
      </c>
      <c r="K31" s="29">
        <f>-SUMIFS(Balance_Générale!$E:$E,Balance_Générale!$G:$G,$C31,Balance_Générale!$H:$H,$D31,Balance_Générale!$I:$I,$E31,Balance_Générale!$J:$J,$F31)/1000</f>
        <v>-2.3224778000000001</v>
      </c>
      <c r="L31" s="30">
        <f t="shared" si="0"/>
        <v>7.8841841084439075</v>
      </c>
    </row>
    <row r="32" spans="2:12" ht="14.25" hidden="1" customHeight="1" outlineLevel="1">
      <c r="B32" s="27" t="s">
        <v>48</v>
      </c>
      <c r="C32" s="27" t="s">
        <v>49</v>
      </c>
      <c r="D32" s="27" t="s">
        <v>81</v>
      </c>
      <c r="E32" s="27" t="s">
        <v>56</v>
      </c>
      <c r="F32" s="27" t="s">
        <v>90</v>
      </c>
      <c r="H32" s="35" t="str">
        <f t="shared" si="1"/>
        <v>Télécommunications</v>
      </c>
      <c r="I32" s="29">
        <f>-SUMIFS(Balance_Générale!$C:$C,Balance_Générale!$G:$G,$C32,Balance_Générale!$H:$H,$D32,Balance_Générale!$I:$I,$E32,Balance_Générale!$J:$J,$F32)/1000</f>
        <v>-1.2155414</v>
      </c>
      <c r="J32" s="29">
        <f>-SUMIFS(Balance_Générale!$D:$D,Balance_Générale!$G:$G,$C32,Balance_Générale!$H:$H,$D32,Balance_Générale!$I:$I,$E32,Balance_Générale!$J:$J,$F32)/1000</f>
        <v>-1.3803214000000001</v>
      </c>
      <c r="K32" s="29">
        <f>-SUMIFS(Balance_Générale!$E:$E,Balance_Générale!$G:$G,$C32,Balance_Générale!$H:$H,$D32,Balance_Générale!$I:$I,$E32,Balance_Générale!$J:$J,$F32)/1000</f>
        <v>-1.4824421999999999</v>
      </c>
      <c r="L32" s="30">
        <f t="shared" si="0"/>
        <v>0.10434306221226142</v>
      </c>
    </row>
    <row r="33" spans="2:12" ht="14.25" hidden="1" customHeight="1" outlineLevel="1">
      <c r="B33" s="27" t="s">
        <v>48</v>
      </c>
      <c r="C33" s="27" t="s">
        <v>49</v>
      </c>
      <c r="D33" s="27" t="s">
        <v>81</v>
      </c>
      <c r="E33" s="27" t="s">
        <v>56</v>
      </c>
      <c r="F33" s="27" t="s">
        <v>91</v>
      </c>
      <c r="H33" s="35" t="str">
        <f t="shared" si="1"/>
        <v>Autres impôts et taxes</v>
      </c>
      <c r="I33" s="29">
        <f>-SUMIFS(Balance_Générale!$C:$C,Balance_Générale!$G:$G,$C33,Balance_Générale!$H:$H,$D33,Balance_Générale!$I:$I,$E33,Balance_Générale!$J:$J,$F33)/1000</f>
        <v>-2.1128647999999997</v>
      </c>
      <c r="J33" s="29">
        <f>-SUMIFS(Balance_Générale!$D:$D,Balance_Générale!$G:$G,$C33,Balance_Générale!$H:$H,$D33,Balance_Générale!$I:$I,$E33,Balance_Générale!$J:$J,$F33)/1000</f>
        <v>-2.5374835999999998</v>
      </c>
      <c r="K33" s="29">
        <f>-SUMIFS(Balance_Générale!$E:$E,Balance_Générale!$G:$G,$C33,Balance_Générale!$H:$H,$D33,Balance_Générale!$I:$I,$E33,Balance_Générale!$J:$J,$F33)/1000</f>
        <v>-1.3537425999999999</v>
      </c>
      <c r="L33" s="30">
        <f t="shared" si="0"/>
        <v>-0.19955371399704858</v>
      </c>
    </row>
    <row r="34" spans="2:12" ht="14.25" hidden="1" customHeight="1" outlineLevel="1">
      <c r="B34" s="27" t="s">
        <v>48</v>
      </c>
      <c r="C34" s="27" t="s">
        <v>49</v>
      </c>
      <c r="D34" s="27" t="s">
        <v>81</v>
      </c>
      <c r="E34" s="27" t="s">
        <v>56</v>
      </c>
      <c r="F34" s="27" t="s">
        <v>92</v>
      </c>
      <c r="H34" s="35" t="str">
        <f t="shared" si="1"/>
        <v>Déplacements</v>
      </c>
      <c r="I34" s="29">
        <f>-SUMIFS(Balance_Générale!$C:$C,Balance_Générale!$G:$G,$C34,Balance_Générale!$H:$H,$D34,Balance_Générale!$I:$I,$E34,Balance_Générale!$J:$J,$F34)/1000</f>
        <v>-1.4083232999999999</v>
      </c>
      <c r="J34" s="29">
        <f>-SUMIFS(Balance_Générale!$D:$D,Balance_Générale!$G:$G,$C34,Balance_Générale!$H:$H,$D34,Balance_Générale!$I:$I,$E34,Balance_Générale!$J:$J,$F34)/1000</f>
        <v>-1.2272686000000002</v>
      </c>
      <c r="K34" s="29">
        <f>-SUMIFS(Balance_Générale!$E:$E,Balance_Générale!$G:$G,$C34,Balance_Générale!$H:$H,$D34,Balance_Générale!$I:$I,$E34,Balance_Générale!$J:$J,$F34)/1000</f>
        <v>-1.1458416</v>
      </c>
      <c r="L34" s="30">
        <f t="shared" si="0"/>
        <v>-9.7990502418686454E-2</v>
      </c>
    </row>
    <row r="35" spans="2:12" ht="14.25" hidden="1" customHeight="1" outlineLevel="1">
      <c r="B35" s="27" t="s">
        <v>48</v>
      </c>
      <c r="C35" s="27" t="s">
        <v>49</v>
      </c>
      <c r="D35" s="27" t="s">
        <v>81</v>
      </c>
      <c r="E35" s="27" t="s">
        <v>56</v>
      </c>
      <c r="F35" s="27" t="s">
        <v>93</v>
      </c>
      <c r="H35" s="35" t="str">
        <f t="shared" si="1"/>
        <v>Primes d'assurance</v>
      </c>
      <c r="I35" s="29">
        <f>-SUMIFS(Balance_Générale!$C:$C,Balance_Générale!$G:$G,$C35,Balance_Générale!$H:$H,$D35,Balance_Générale!$I:$I,$E35,Balance_Générale!$J:$J,$F35)/1000</f>
        <v>-0.56789179999999995</v>
      </c>
      <c r="J35" s="29">
        <f>-SUMIFS(Balance_Générale!$D:$D,Balance_Générale!$G:$G,$C35,Balance_Générale!$H:$H,$D35,Balance_Générale!$I:$I,$E35,Balance_Générale!$J:$J,$F35)/1000</f>
        <v>-0.83727499999999999</v>
      </c>
      <c r="K35" s="29">
        <f>-SUMIFS(Balance_Générale!$E:$E,Balance_Générale!$G:$G,$C35,Balance_Générale!$H:$H,$D35,Balance_Générale!$I:$I,$E35,Balance_Générale!$J:$J,$F35)/1000</f>
        <v>-1.0371510000000002</v>
      </c>
      <c r="L35" s="30">
        <f t="shared" si="0"/>
        <v>0.35141332357448762</v>
      </c>
    </row>
    <row r="36" spans="2:12" ht="14.25" hidden="1" customHeight="1" outlineLevel="1">
      <c r="B36" s="27" t="s">
        <v>48</v>
      </c>
      <c r="C36" s="27" t="s">
        <v>49</v>
      </c>
      <c r="D36" s="27" t="s">
        <v>81</v>
      </c>
      <c r="E36" s="27" t="s">
        <v>56</v>
      </c>
      <c r="F36" s="27" t="s">
        <v>94</v>
      </c>
      <c r="H36" s="35" t="str">
        <f t="shared" si="1"/>
        <v>Affranchissement et télécommunications</v>
      </c>
      <c r="I36" s="29">
        <f>-SUMIFS(Balance_Générale!$C:$C,Balance_Générale!$G:$G,$C36,Balance_Générale!$H:$H,$D36,Balance_Générale!$I:$I,$E36,Balance_Générale!$J:$J,$F36)/1000</f>
        <v>-0.99945489999999992</v>
      </c>
      <c r="J36" s="29">
        <f>-SUMIFS(Balance_Générale!$D:$D,Balance_Générale!$G:$G,$C36,Balance_Générale!$H:$H,$D36,Balance_Générale!$I:$I,$E36,Balance_Générale!$J:$J,$F36)/1000</f>
        <v>-0.95141189999999998</v>
      </c>
      <c r="K36" s="29">
        <f>-SUMIFS(Balance_Générale!$E:$E,Balance_Générale!$G:$G,$C36,Balance_Générale!$H:$H,$D36,Balance_Générale!$I:$I,$E36,Balance_Générale!$J:$J,$F36)/1000</f>
        <v>-0.91718259999999996</v>
      </c>
      <c r="L36" s="30">
        <f t="shared" si="0"/>
        <v>-4.2042365806274851E-2</v>
      </c>
    </row>
    <row r="37" spans="2:12" ht="14.25" hidden="1" customHeight="1" outlineLevel="1">
      <c r="B37" s="27" t="s">
        <v>48</v>
      </c>
      <c r="C37" s="27" t="s">
        <v>49</v>
      </c>
      <c r="D37" s="27" t="s">
        <v>81</v>
      </c>
      <c r="E37" s="27" t="s">
        <v>56</v>
      </c>
      <c r="F37" s="27" t="s">
        <v>95</v>
      </c>
      <c r="H37" s="35" t="str">
        <f t="shared" si="1"/>
        <v>Abonnements</v>
      </c>
      <c r="I37" s="29">
        <f>-SUMIFS(Balance_Générale!$C:$C,Balance_Générale!$G:$G,$C37,Balance_Générale!$H:$H,$D37,Balance_Générale!$I:$I,$E37,Balance_Générale!$J:$J,$F37)/1000</f>
        <v>-0.56720700000000002</v>
      </c>
      <c r="J37" s="29">
        <f>-SUMIFS(Balance_Générale!$D:$D,Balance_Générale!$G:$G,$C37,Balance_Générale!$H:$H,$D37,Balance_Générale!$I:$I,$E37,Balance_Générale!$J:$J,$F37)/1000</f>
        <v>-0.28633199999999998</v>
      </c>
      <c r="K37" s="29">
        <f>-SUMIFS(Balance_Générale!$E:$E,Balance_Générale!$G:$G,$C37,Balance_Générale!$H:$H,$D37,Balance_Générale!$I:$I,$E37,Balance_Générale!$J:$J,$F37)/1000</f>
        <v>-0.67734209999999995</v>
      </c>
      <c r="L37" s="30">
        <f t="shared" si="0"/>
        <v>9.2781273242198203E-2</v>
      </c>
    </row>
    <row r="38" spans="2:12" ht="14.25" hidden="1" customHeight="1" outlineLevel="1">
      <c r="B38" s="27" t="s">
        <v>48</v>
      </c>
      <c r="C38" s="27" t="s">
        <v>49</v>
      </c>
      <c r="D38" s="27" t="s">
        <v>81</v>
      </c>
      <c r="E38" s="27" t="s">
        <v>60</v>
      </c>
      <c r="F38" s="27" t="s">
        <v>96</v>
      </c>
      <c r="H38" s="35" t="str">
        <f t="shared" si="1"/>
        <v>Services exploités pour compte propre</v>
      </c>
      <c r="I38" s="29">
        <f>-SUMIFS(Balance_Générale!$C:$C,Balance_Générale!$G:$G,$C38,Balance_Générale!$H:$H,$D38,Balance_Générale!$I:$I,$E38,Balance_Générale!$J:$J,$F38)/1000</f>
        <v>-0.69984420000000003</v>
      </c>
      <c r="J38" s="29">
        <f>-SUMIFS(Balance_Générale!$D:$D,Balance_Générale!$G:$G,$C38,Balance_Générale!$H:$H,$D38,Balance_Générale!$I:$I,$E38,Balance_Générale!$J:$J,$F38)/1000</f>
        <v>-0.641679</v>
      </c>
      <c r="K38" s="29">
        <f>-SUMIFS(Balance_Générale!$E:$E,Balance_Générale!$G:$G,$C38,Balance_Générale!$H:$H,$D38,Balance_Générale!$I:$I,$E38,Balance_Générale!$J:$J,$F38)/1000</f>
        <v>-0.63055100000000008</v>
      </c>
      <c r="L38" s="30">
        <f t="shared" ref="L38:L64" si="2">IFERROR(IF(OR(AND(I38&gt;0,K38&gt;0),AND(I38&lt;0,K38&lt;0)),(K38/I38)^(1/2)-1,"n.a."),"n.a.")</f>
        <v>-5.0796293216502586E-2</v>
      </c>
    </row>
    <row r="39" spans="2:12" ht="14.25" hidden="1" customHeight="1" outlineLevel="1">
      <c r="B39" s="27" t="s">
        <v>48</v>
      </c>
      <c r="C39" s="27" t="s">
        <v>49</v>
      </c>
      <c r="D39" s="27" t="s">
        <v>81</v>
      </c>
      <c r="E39" s="27" t="s">
        <v>56</v>
      </c>
      <c r="F39" s="27" t="s">
        <v>97</v>
      </c>
      <c r="H39" s="35" t="str">
        <f t="shared" si="1"/>
        <v>Frais de titres</v>
      </c>
      <c r="I39" s="29">
        <f>-SUMIFS(Balance_Générale!$C:$C,Balance_Générale!$G:$G,$C39,Balance_Générale!$H:$H,$D39,Balance_Générale!$I:$I,$E39,Balance_Générale!$J:$J,$F39)/1000</f>
        <v>-1.1202257999999998</v>
      </c>
      <c r="J39" s="29">
        <f>-SUMIFS(Balance_Générale!$D:$D,Balance_Générale!$G:$G,$C39,Balance_Générale!$H:$H,$D39,Balance_Générale!$I:$I,$E39,Balance_Générale!$J:$J,$F39)/1000</f>
        <v>-0.69233279999999997</v>
      </c>
      <c r="K39" s="29">
        <f>-SUMIFS(Balance_Générale!$E:$E,Balance_Générale!$G:$G,$C39,Balance_Générale!$H:$H,$D39,Balance_Générale!$I:$I,$E39,Balance_Générale!$J:$J,$F39)/1000</f>
        <v>-0.51719519999999997</v>
      </c>
      <c r="L39" s="30">
        <f t="shared" si="2"/>
        <v>-0.32052347435506212</v>
      </c>
    </row>
    <row r="40" spans="2:12" ht="14.25" hidden="1" customHeight="1" outlineLevel="1">
      <c r="B40" s="27" t="s">
        <v>48</v>
      </c>
      <c r="C40" s="27" t="s">
        <v>49</v>
      </c>
      <c r="D40" s="27" t="s">
        <v>81</v>
      </c>
      <c r="E40" s="27" t="s">
        <v>56</v>
      </c>
      <c r="F40" s="27" t="s">
        <v>98</v>
      </c>
      <c r="H40" s="35" t="str">
        <f t="shared" si="1"/>
        <v>Documentation générale</v>
      </c>
      <c r="I40" s="29">
        <f>-SUMIFS(Balance_Générale!$C:$C,Balance_Générale!$G:$G,$C40,Balance_Générale!$H:$H,$D40,Balance_Générale!$I:$I,$E40,Balance_Générale!$J:$J,$F40)/1000</f>
        <v>0</v>
      </c>
      <c r="J40" s="29">
        <f>-SUMIFS(Balance_Générale!$D:$D,Balance_Générale!$G:$G,$C40,Balance_Générale!$H:$H,$D40,Balance_Générale!$I:$I,$E40,Balance_Générale!$J:$J,$F40)/1000</f>
        <v>0</v>
      </c>
      <c r="K40" s="29">
        <f>-SUMIFS(Balance_Générale!$E:$E,Balance_Générale!$G:$G,$C40,Balance_Générale!$H:$H,$D40,Balance_Générale!$I:$I,$E40,Balance_Générale!$J:$J,$F40)/1000</f>
        <v>-0.19421569999999999</v>
      </c>
      <c r="L40" s="30" t="str">
        <f t="shared" si="2"/>
        <v>n.a.</v>
      </c>
    </row>
    <row r="41" spans="2:12" ht="14.25" hidden="1" customHeight="1" outlineLevel="1">
      <c r="B41" s="27" t="s">
        <v>48</v>
      </c>
      <c r="C41" s="27" t="s">
        <v>49</v>
      </c>
      <c r="D41" s="27" t="s">
        <v>81</v>
      </c>
      <c r="E41" s="27" t="s">
        <v>56</v>
      </c>
      <c r="F41" s="27" t="s">
        <v>99</v>
      </c>
      <c r="H41" s="35" t="str">
        <f t="shared" si="1"/>
        <v>Études</v>
      </c>
      <c r="I41" s="29">
        <f>-SUMIFS(Balance_Générale!$C:$C,Balance_Générale!$G:$G,$C41,Balance_Générale!$H:$H,$D41,Balance_Générale!$I:$I,$E41,Balance_Générale!$J:$J,$F41)/1000</f>
        <v>-4.9967715999999998</v>
      </c>
      <c r="J41" s="29">
        <f>-SUMIFS(Balance_Générale!$D:$D,Balance_Générale!$G:$G,$C41,Balance_Générale!$H:$H,$D41,Balance_Générale!$I:$I,$E41,Balance_Générale!$J:$J,$F41)/1000</f>
        <v>-0.12827160000000001</v>
      </c>
      <c r="K41" s="29">
        <f>-SUMIFS(Balance_Générale!$E:$E,Balance_Générale!$G:$G,$C41,Balance_Générale!$H:$H,$D41,Balance_Générale!$I:$I,$E41,Balance_Générale!$J:$J,$F41)/1000</f>
        <v>-0.13041159999999999</v>
      </c>
      <c r="L41" s="30">
        <f t="shared" si="2"/>
        <v>-0.83844761928961931</v>
      </c>
    </row>
    <row r="42" spans="2:12" ht="14.25" hidden="1" customHeight="1" outlineLevel="1">
      <c r="B42" s="27" t="s">
        <v>48</v>
      </c>
      <c r="C42" s="27" t="s">
        <v>49</v>
      </c>
      <c r="D42" s="27" t="s">
        <v>81</v>
      </c>
      <c r="E42" s="27" t="s">
        <v>56</v>
      </c>
      <c r="F42" s="27" t="s">
        <v>100</v>
      </c>
      <c r="H42" s="35" t="str">
        <f t="shared" si="1"/>
        <v>Divers</v>
      </c>
      <c r="I42" s="29">
        <f>-SUMIFS(Balance_Générale!$C:$C,Balance_Générale!$G:$G,$C42,Balance_Générale!$H:$H,$D42,Balance_Générale!$I:$I,$E42,Balance_Générale!$J:$J,$F42)/1000</f>
        <v>-0.120375</v>
      </c>
      <c r="J42" s="29">
        <f>-SUMIFS(Balance_Générale!$D:$D,Balance_Générale!$G:$G,$C42,Balance_Générale!$H:$H,$D42,Balance_Générale!$I:$I,$E42,Balance_Générale!$J:$J,$F42)/1000</f>
        <v>-0.13375000000000001</v>
      </c>
      <c r="K42" s="29">
        <f>-SUMIFS(Balance_Générale!$E:$E,Balance_Générale!$G:$G,$C42,Balance_Générale!$H:$H,$D42,Balance_Générale!$I:$I,$E42,Balance_Générale!$J:$J,$F42)/1000</f>
        <v>-8.4711900000000007E-2</v>
      </c>
      <c r="L42" s="30">
        <f t="shared" si="2"/>
        <v>-0.16111184694660674</v>
      </c>
    </row>
    <row r="43" spans="2:12" ht="14.25" hidden="1" customHeight="1" outlineLevel="1">
      <c r="B43" s="27" t="s">
        <v>48</v>
      </c>
      <c r="C43" s="27" t="s">
        <v>49</v>
      </c>
      <c r="D43" s="27" t="s">
        <v>81</v>
      </c>
      <c r="E43" s="27" t="s">
        <v>56</v>
      </c>
      <c r="F43" s="27" t="s">
        <v>101</v>
      </c>
      <c r="H43" s="35" t="str">
        <f t="shared" si="1"/>
        <v>Pénalités et autres charges</v>
      </c>
      <c r="I43" s="29">
        <f>-SUMIFS(Balance_Générale!$C:$C,Balance_Générale!$G:$G,$C43,Balance_Générale!$H:$H,$D43,Balance_Générale!$I:$I,$E43,Balance_Générale!$J:$J,$F43)/1000</f>
        <v>-2.8889999999999996E-3</v>
      </c>
      <c r="J43" s="29">
        <f>-SUMIFS(Balance_Générale!$D:$D,Balance_Générale!$G:$G,$C43,Balance_Générale!$H:$H,$D43,Balance_Générale!$I:$I,$E43,Balance_Générale!$J:$J,$F43)/1000</f>
        <v>-8.2497000000000004E-3</v>
      </c>
      <c r="K43" s="29">
        <f>-SUMIFS(Balance_Générale!$E:$E,Balance_Générale!$G:$G,$C43,Balance_Générale!$H:$H,$D43,Balance_Générale!$I:$I,$E43,Balance_Générale!$J:$J,$F43)/1000</f>
        <v>-1.1021000000000002E-3</v>
      </c>
      <c r="L43" s="30">
        <f t="shared" si="2"/>
        <v>-0.38235812845834227</v>
      </c>
    </row>
    <row r="44" spans="2:12" ht="14.25" customHeight="1" collapsed="1">
      <c r="B44" s="27"/>
      <c r="C44" s="27"/>
      <c r="D44" s="27"/>
      <c r="E44" s="27"/>
      <c r="F44" s="27"/>
      <c r="H44" s="36" t="s">
        <v>102</v>
      </c>
      <c r="I44" s="29">
        <f>SUM(I24:I43)</f>
        <v>-163.3141</v>
      </c>
      <c r="J44" s="29">
        <f>SUM(J24:J43)</f>
        <v>-217.28729680000004</v>
      </c>
      <c r="K44" s="29">
        <f>SUM(K24:K43)</f>
        <v>-259.86331369999999</v>
      </c>
      <c r="L44" s="30">
        <f t="shared" si="2"/>
        <v>0.26142270877487106</v>
      </c>
    </row>
    <row r="45" spans="2:12" ht="14.25" customHeight="1">
      <c r="B45" s="31" t="s">
        <v>103</v>
      </c>
      <c r="C45" s="27"/>
      <c r="D45" s="27"/>
      <c r="E45" s="27"/>
      <c r="F45" s="27"/>
      <c r="H45" s="36" t="s">
        <v>104</v>
      </c>
      <c r="I45" s="29">
        <f>SUMIFS(Charges_Personnel!E:E,Charges_Personnel!$B:$B,$B45)</f>
        <v>-40.220411499726268</v>
      </c>
      <c r="J45" s="29">
        <f>SUMIFS(Charges_Personnel!F:F,Charges_Personnel!$B:$B,$B45)</f>
        <v>-29.861140393494917</v>
      </c>
      <c r="K45" s="29">
        <f>SUMIFS(Charges_Personnel!G:G,Charges_Personnel!$B:$B,$B45)</f>
        <v>-33.298117572541564</v>
      </c>
      <c r="L45" s="30">
        <f t="shared" si="2"/>
        <v>-9.0114830448050465E-2</v>
      </c>
    </row>
    <row r="46" spans="2:12" ht="14.25" customHeight="1">
      <c r="B46" s="31" t="s">
        <v>105</v>
      </c>
      <c r="C46" s="31" t="s">
        <v>54</v>
      </c>
      <c r="D46" s="31" t="s">
        <v>54</v>
      </c>
      <c r="E46" s="31" t="s">
        <v>54</v>
      </c>
      <c r="F46" s="31" t="s">
        <v>54</v>
      </c>
      <c r="H46" t="s">
        <v>81</v>
      </c>
      <c r="I46" s="37">
        <f>SUM(I44:I45)</f>
        <v>-203.53451149972625</v>
      </c>
      <c r="J46" s="37">
        <f>SUM(J44:J45)</f>
        <v>-247.14843719349494</v>
      </c>
      <c r="K46" s="37">
        <f>SUM(K44:K45)</f>
        <v>-293.16143127254156</v>
      </c>
      <c r="L46" s="38">
        <f t="shared" si="2"/>
        <v>0.20014684308248021</v>
      </c>
    </row>
    <row r="47" spans="2:12" ht="15.75" customHeight="1">
      <c r="B47" s="31" t="s">
        <v>49</v>
      </c>
      <c r="C47" s="31"/>
      <c r="D47" s="31"/>
      <c r="E47" s="31"/>
      <c r="F47" s="31"/>
      <c r="H47" s="40" t="s">
        <v>49</v>
      </c>
      <c r="I47" s="41">
        <f>SUM(I46,I23,I21,I16)</f>
        <v>38.417183699999981</v>
      </c>
      <c r="J47" s="41">
        <f>SUM(J46,J23,J21,J16)</f>
        <v>67.44354450000003</v>
      </c>
      <c r="K47" s="41">
        <f>SUM(K46,K23,K21,K16)</f>
        <v>66.608270399999981</v>
      </c>
      <c r="L47" s="42">
        <f t="shared" si="2"/>
        <v>0.31674390317697831</v>
      </c>
    </row>
    <row r="48" spans="2:12" ht="14.25" hidden="1" customHeight="1" outlineLevel="1">
      <c r="B48" s="27" t="s">
        <v>48</v>
      </c>
      <c r="C48" s="27" t="s">
        <v>106</v>
      </c>
      <c r="D48" s="27" t="s">
        <v>106</v>
      </c>
      <c r="E48" s="27" t="s">
        <v>107</v>
      </c>
      <c r="F48" s="27" t="s">
        <v>107</v>
      </c>
      <c r="H48" s="36" t="str">
        <f>F48</f>
        <v>Amortissement des immobilisations incorporelles</v>
      </c>
      <c r="I48" s="29">
        <f>-SUMIFS(Balance_Générale!$C:$C,Balance_Générale!$G:$G,$C48,Balance_Générale!$H:$H,$D48,Balance_Générale!$I:$I,$E48,Balance_Générale!$J:$J,$F48)/1000</f>
        <v>-31.347725799999999</v>
      </c>
      <c r="J48" s="29">
        <f>-SUMIFS(Balance_Générale!$D:$D,Balance_Générale!$G:$G,$C48,Balance_Générale!$H:$H,$D48,Balance_Générale!$I:$I,$E48,Balance_Générale!$J:$J,$F48)/1000</f>
        <v>-38.793363599999999</v>
      </c>
      <c r="K48" s="29">
        <f>-SUMIFS(Balance_Générale!$E:$E,Balance_Générale!$G:$G,$C48,Balance_Générale!$H:$H,$D48,Balance_Générale!$I:$I,$E48,Balance_Générale!$J:$J,$F48)/1000</f>
        <v>-42.973778700000004</v>
      </c>
      <c r="L48" s="30">
        <f t="shared" si="2"/>
        <v>0.17084323736690044</v>
      </c>
    </row>
    <row r="49" spans="2:12" ht="14.25" hidden="1" customHeight="1" outlineLevel="1">
      <c r="B49" s="27" t="s">
        <v>48</v>
      </c>
      <c r="C49" s="27" t="s">
        <v>106</v>
      </c>
      <c r="D49" s="27" t="s">
        <v>106</v>
      </c>
      <c r="E49" s="27" t="s">
        <v>108</v>
      </c>
      <c r="F49" s="27" t="s">
        <v>108</v>
      </c>
      <c r="H49" s="36" t="str">
        <f>F49</f>
        <v>Dotations aux amortissements des immobilisations corporelles</v>
      </c>
      <c r="I49" s="29">
        <f>-SUMIFS(Balance_Générale!$C:$C,Balance_Générale!$G:$G,$C49,Balance_Générale!$H:$H,$D49,Balance_Générale!$I:$I,$E49,Balance_Générale!$J:$J,$F49)/1000</f>
        <v>-0.69231140000000002</v>
      </c>
      <c r="J49" s="29">
        <f>-SUMIFS(Balance_Générale!$D:$D,Balance_Générale!$G:$G,$C49,Balance_Générale!$H:$H,$D49,Balance_Générale!$I:$I,$E49,Balance_Générale!$J:$J,$F49)/1000</f>
        <v>-1.0741302000000001</v>
      </c>
      <c r="K49" s="29">
        <f>-SUMIFS(Balance_Générale!$E:$E,Balance_Générale!$G:$G,$C49,Balance_Générale!$H:$H,$D49,Balance_Générale!$I:$I,$E49,Balance_Générale!$J:$J,$F49)/1000</f>
        <v>-1.60928</v>
      </c>
      <c r="L49" s="30">
        <f t="shared" si="2"/>
        <v>0.52463212171003049</v>
      </c>
    </row>
    <row r="50" spans="2:12" ht="14.25" customHeight="1" collapsed="1">
      <c r="B50" s="31" t="s">
        <v>109</v>
      </c>
      <c r="C50" s="31" t="s">
        <v>54</v>
      </c>
      <c r="D50" s="31" t="s">
        <v>54</v>
      </c>
      <c r="E50" s="31" t="s">
        <v>54</v>
      </c>
      <c r="F50" s="31" t="s">
        <v>54</v>
      </c>
      <c r="H50" t="s">
        <v>106</v>
      </c>
      <c r="I50" s="37">
        <f>SUM(I48:I49)</f>
        <v>-32.0400372</v>
      </c>
      <c r="J50" s="37">
        <f>SUM(J48:J49)</f>
        <v>-39.867493799999998</v>
      </c>
      <c r="K50" s="37">
        <f>SUM(K48:K49)</f>
        <v>-44.583058700000002</v>
      </c>
      <c r="L50" s="38">
        <f t="shared" si="2"/>
        <v>0.17960994284482523</v>
      </c>
    </row>
    <row r="51" spans="2:12" ht="15.75" customHeight="1">
      <c r="B51" s="31" t="s">
        <v>110</v>
      </c>
      <c r="C51" s="31"/>
      <c r="D51" s="31"/>
      <c r="E51" s="31"/>
      <c r="F51" s="31"/>
      <c r="H51" s="43" t="s">
        <v>110</v>
      </c>
      <c r="I51" s="44">
        <f>I47 + I50</f>
        <v>6.3771464999999807</v>
      </c>
      <c r="J51" s="44">
        <f>J47 + J50</f>
        <v>27.576050700000032</v>
      </c>
      <c r="K51" s="44">
        <f>K47 + K50</f>
        <v>22.025211699999979</v>
      </c>
      <c r="L51" s="42">
        <f t="shared" si="2"/>
        <v>0.85843274378981338</v>
      </c>
    </row>
    <row r="52" spans="2:12" ht="14.25" hidden="1" customHeight="1" outlineLevel="1">
      <c r="B52" s="27" t="s">
        <v>48</v>
      </c>
      <c r="C52" s="27" t="s">
        <v>111</v>
      </c>
      <c r="D52" s="27" t="s">
        <v>112</v>
      </c>
      <c r="E52" s="27" t="s">
        <v>113</v>
      </c>
      <c r="F52" s="27" t="s">
        <v>113</v>
      </c>
      <c r="H52" s="36" t="str">
        <f>F52</f>
        <v>Autres produits financiers</v>
      </c>
      <c r="I52" s="29">
        <f>-SUMIFS(Balance_Générale!$C:$C,Balance_Générale!$G:$G,$C52,Balance_Générale!$H:$H,$D52,Balance_Générale!$I:$I,$E52,Balance_Générale!$J:$J,$F52)/1000</f>
        <v>4.2650199999999999E-2</v>
      </c>
      <c r="J52" s="29">
        <f>-SUMIFS(Balance_Générale!$D:$D,Balance_Générale!$G:$G,$C52,Balance_Générale!$H:$H,$D52,Balance_Générale!$I:$I,$E52,Balance_Générale!$J:$J,$F52)/1000</f>
        <v>3.21E-4</v>
      </c>
      <c r="K52" s="29">
        <f>-SUMIFS(Balance_Générale!$E:$E,Balance_Générale!$G:$G,$C52,Balance_Générale!$H:$H,$D52,Balance_Générale!$I:$I,$E52,Balance_Générale!$J:$J,$F52)/1000</f>
        <v>3.1565E-3</v>
      </c>
      <c r="L52" s="30">
        <f t="shared" si="2"/>
        <v>-0.72795398990127191</v>
      </c>
    </row>
    <row r="53" spans="2:12" ht="14.25" hidden="1" customHeight="1" outlineLevel="1">
      <c r="B53" s="27" t="s">
        <v>48</v>
      </c>
      <c r="C53" s="27" t="s">
        <v>111</v>
      </c>
      <c r="D53" s="27" t="s">
        <v>112</v>
      </c>
      <c r="E53" s="27" t="s">
        <v>114</v>
      </c>
      <c r="F53" s="27" t="s">
        <v>115</v>
      </c>
      <c r="H53" s="36" t="str">
        <f>F53</f>
        <v>Gains &amp; Pertes de change</v>
      </c>
      <c r="I53" s="29">
        <f>-SUMIFS(Balance_Générale!$C:$C,Balance_Générale!$G:$G,$C53,Balance_Générale!$H:$H,$D53,Balance_Générale!$I:$I,$E53,Balance_Générale!$J:$J,$F53)/1000</f>
        <v>0</v>
      </c>
      <c r="J53" s="29">
        <f>-SUMIFS(Balance_Générale!$D:$D,Balance_Générale!$G:$G,$C53,Balance_Générale!$H:$H,$D53,Balance_Générale!$I:$I,$E53,Balance_Générale!$J:$J,$F53)/1000</f>
        <v>0</v>
      </c>
      <c r="K53" s="29">
        <f>-SUMIFS(Balance_Générale!$E:$E,Balance_Générale!$G:$G,$C53,Balance_Générale!$H:$H,$D53,Balance_Générale!$I:$I,$E53,Balance_Générale!$J:$J,$F53)/1000</f>
        <v>-1.605E-4</v>
      </c>
      <c r="L53" s="30" t="str">
        <f t="shared" si="2"/>
        <v>n.a.</v>
      </c>
    </row>
    <row r="54" spans="2:12" ht="14.25" hidden="1" customHeight="1" outlineLevel="1">
      <c r="B54" s="27" t="s">
        <v>48</v>
      </c>
      <c r="C54" s="27" t="s">
        <v>111</v>
      </c>
      <c r="D54" s="27" t="s">
        <v>112</v>
      </c>
      <c r="E54" s="27" t="s">
        <v>116</v>
      </c>
      <c r="F54" s="27" t="s">
        <v>116</v>
      </c>
      <c r="H54" s="36" t="str">
        <f>F54</f>
        <v>Intérêts sur emprunts</v>
      </c>
      <c r="I54" s="29">
        <f>-SUMIFS(Balance_Générale!$C:$C,Balance_Générale!$G:$G,$C54,Balance_Générale!$H:$H,$D54,Balance_Générale!$I:$I,$E54,Balance_Générale!$J:$J,$F54)/1000</f>
        <v>-0.18042339999999998</v>
      </c>
      <c r="J54" s="29">
        <f>-SUMIFS(Balance_Générale!$D:$D,Balance_Générale!$G:$G,$C54,Balance_Générale!$H:$H,$D54,Balance_Générale!$I:$I,$E54,Balance_Générale!$J:$J,$F54)/1000</f>
        <v>-0.22099780000000002</v>
      </c>
      <c r="K54" s="29">
        <f>-SUMIFS(Balance_Générale!$E:$E,Balance_Générale!$G:$G,$C54,Balance_Générale!$H:$H,$D54,Balance_Générale!$I:$I,$E54,Balance_Générale!$J:$J,$F54)/1000</f>
        <v>-0.1085943</v>
      </c>
      <c r="L54" s="30">
        <f t="shared" si="2"/>
        <v>-0.22418694437136888</v>
      </c>
    </row>
    <row r="55" spans="2:12" ht="14.25" customHeight="1" collapsed="1">
      <c r="B55" s="31" t="s">
        <v>117</v>
      </c>
      <c r="C55" s="31" t="s">
        <v>54</v>
      </c>
      <c r="D55" s="31" t="s">
        <v>54</v>
      </c>
      <c r="E55" s="31" t="s">
        <v>54</v>
      </c>
      <c r="F55" s="31" t="s">
        <v>54</v>
      </c>
      <c r="H55" t="s">
        <v>112</v>
      </c>
      <c r="I55" s="37">
        <f>SUM(I52:I54)</f>
        <v>-0.13777319999999998</v>
      </c>
      <c r="J55" s="37">
        <f>SUM(J52:J54)</f>
        <v>-0.22067680000000003</v>
      </c>
      <c r="K55" s="37">
        <f>SUM(K52:K54)</f>
        <v>-0.10559830000000001</v>
      </c>
      <c r="L55" s="38">
        <f t="shared" si="2"/>
        <v>-0.12452027973077995</v>
      </c>
    </row>
    <row r="56" spans="2:12" ht="14.25" hidden="1" customHeight="1" outlineLevel="1">
      <c r="B56" s="27" t="s">
        <v>48</v>
      </c>
      <c r="C56" s="27" t="s">
        <v>111</v>
      </c>
      <c r="D56" s="27" t="s">
        <v>118</v>
      </c>
      <c r="E56" s="27" t="s">
        <v>119</v>
      </c>
      <c r="F56" s="27" t="s">
        <v>119</v>
      </c>
      <c r="H56" s="36" t="str">
        <f>F56</f>
        <v>Ajustements exercice antérieur (Charge)</v>
      </c>
      <c r="I56" s="29">
        <f>-SUMIFS(Balance_Générale!$C:$C,Balance_Générale!$G:$G,$C56,Balance_Générale!$H:$H,$D56,Balance_Générale!$I:$I,$E56,Balance_Générale!$J:$J,$F56)/1000</f>
        <v>0</v>
      </c>
      <c r="J56" s="29">
        <f>-SUMIFS(Balance_Générale!$D:$D,Balance_Générale!$G:$G,$C56,Balance_Générale!$H:$H,$D56,Balance_Générale!$I:$I,$E56,Balance_Générale!$J:$J,$F56)/1000</f>
        <v>-0.37210320000000002</v>
      </c>
      <c r="K56" s="29">
        <f>-SUMIFS(Balance_Générale!$E:$E,Balance_Générale!$G:$G,$C56,Balance_Générale!$H:$H,$D56,Balance_Générale!$I:$I,$E56,Balance_Générale!$J:$J,$F56)/1000</f>
        <v>0</v>
      </c>
      <c r="L56" s="30" t="str">
        <f t="shared" si="2"/>
        <v>n.a.</v>
      </c>
    </row>
    <row r="57" spans="2:12" ht="14.25" hidden="1" customHeight="1" outlineLevel="1">
      <c r="B57" s="27" t="s">
        <v>48</v>
      </c>
      <c r="C57" s="27" t="s">
        <v>111</v>
      </c>
      <c r="D57" s="27" t="s">
        <v>118</v>
      </c>
      <c r="E57" s="27" t="s">
        <v>120</v>
      </c>
      <c r="F57" s="27" t="s">
        <v>120</v>
      </c>
      <c r="H57" s="36" t="str">
        <f>F57</f>
        <v>Ajustements exercice antérieur (Produit)</v>
      </c>
      <c r="I57" s="29">
        <f>-SUMIFS(Balance_Générale!$C:$C,Balance_Générale!$G:$G,$C57,Balance_Générale!$H:$H,$D57,Balance_Générale!$I:$I,$E57,Balance_Générale!$J:$J,$F57)/1000</f>
        <v>0.1587452</v>
      </c>
      <c r="J57" s="29">
        <f>-SUMIFS(Balance_Générale!$D:$D,Balance_Générale!$G:$G,$C57,Balance_Générale!$H:$H,$D57,Balance_Générale!$I:$I,$E57,Balance_Générale!$J:$J,$F57)/1000</f>
        <v>0</v>
      </c>
      <c r="K57" s="29">
        <f>-SUMIFS(Balance_Générale!$E:$E,Balance_Générale!$G:$G,$C57,Balance_Générale!$H:$H,$D57,Balance_Générale!$I:$I,$E57,Balance_Générale!$J:$J,$F57)/1000</f>
        <v>0</v>
      </c>
      <c r="L57" s="30" t="str">
        <f t="shared" si="2"/>
        <v>n.a.</v>
      </c>
    </row>
    <row r="58" spans="2:12" ht="14.25" hidden="1" customHeight="1" outlineLevel="1">
      <c r="B58" s="27" t="s">
        <v>48</v>
      </c>
      <c r="C58" s="27" t="s">
        <v>111</v>
      </c>
      <c r="D58" s="27" t="s">
        <v>118</v>
      </c>
      <c r="E58" s="27" t="s">
        <v>121</v>
      </c>
      <c r="F58" s="27" t="s">
        <v>121</v>
      </c>
      <c r="H58" s="36" t="str">
        <f>F58</f>
        <v>Indemnités et autres produits</v>
      </c>
      <c r="I58" s="29">
        <f>-SUMIFS(Balance_Générale!$C:$C,Balance_Générale!$G:$G,$C58,Balance_Générale!$H:$H,$D58,Balance_Générale!$I:$I,$E58,Balance_Générale!$J:$J,$F58)/1000</f>
        <v>7.8431000000000004E-3</v>
      </c>
      <c r="J58" s="29">
        <f>-SUMIFS(Balance_Générale!$D:$D,Balance_Générale!$G:$G,$C58,Balance_Générale!$H:$H,$D58,Balance_Générale!$I:$I,$E58,Balance_Générale!$J:$J,$F58)/1000</f>
        <v>1.05716E-2</v>
      </c>
      <c r="K58" s="29">
        <f>-SUMIFS(Balance_Générale!$E:$E,Balance_Générale!$G:$G,$C58,Balance_Générale!$H:$H,$D58,Balance_Générale!$I:$I,$E58,Balance_Générale!$J:$J,$F58)/1000</f>
        <v>1.3161E-3</v>
      </c>
      <c r="L58" s="30">
        <f t="shared" si="2"/>
        <v>-0.59036168750121942</v>
      </c>
    </row>
    <row r="59" spans="2:12" ht="14.25" hidden="1" customHeight="1" outlineLevel="1">
      <c r="B59" s="27" t="s">
        <v>48</v>
      </c>
      <c r="C59" s="27" t="s">
        <v>111</v>
      </c>
      <c r="D59" s="27" t="s">
        <v>118</v>
      </c>
      <c r="E59" s="27" t="s">
        <v>122</v>
      </c>
      <c r="F59" s="27" t="s">
        <v>122</v>
      </c>
      <c r="H59" s="36" t="str">
        <f>F59</f>
        <v>Transferts de charges d'exploitation</v>
      </c>
      <c r="I59" s="29">
        <f>-SUMIFS(Balance_Générale!$C:$C,Balance_Générale!$G:$G,$C59,Balance_Générale!$H:$H,$D59,Balance_Générale!$I:$I,$E59,Balance_Générale!$J:$J,$F59)/1000</f>
        <v>8.9165989000000003</v>
      </c>
      <c r="J59" s="29">
        <f>-SUMIFS(Balance_Générale!$D:$D,Balance_Générale!$G:$G,$C59,Balance_Générale!$H:$H,$D59,Balance_Générale!$I:$I,$E59,Balance_Générale!$J:$J,$F59)/1000</f>
        <v>14.266523999999999</v>
      </c>
      <c r="K59" s="29">
        <f>-SUMIFS(Balance_Générale!$E:$E,Balance_Générale!$G:$G,$C59,Balance_Générale!$H:$H,$D59,Balance_Générale!$I:$I,$E59,Balance_Générale!$J:$J,$F59)/1000</f>
        <v>17.833326199999998</v>
      </c>
      <c r="L59" s="30">
        <f t="shared" si="2"/>
        <v>0.41421865357144849</v>
      </c>
    </row>
    <row r="60" spans="2:12" ht="14.25" customHeight="1" collapsed="1">
      <c r="B60" s="31" t="s">
        <v>123</v>
      </c>
      <c r="C60" s="31" t="s">
        <v>54</v>
      </c>
      <c r="D60" s="31" t="s">
        <v>54</v>
      </c>
      <c r="E60" s="31" t="s">
        <v>54</v>
      </c>
      <c r="F60" s="31" t="s">
        <v>54</v>
      </c>
      <c r="H60" t="s">
        <v>118</v>
      </c>
      <c r="I60" s="37">
        <f>SUM(I56:I59)</f>
        <v>9.0831872000000011</v>
      </c>
      <c r="J60" s="37">
        <f>SUM(J56:J59)</f>
        <v>13.904992399999999</v>
      </c>
      <c r="K60" s="37">
        <f>SUM(K56:K59)</f>
        <v>17.834642299999999</v>
      </c>
      <c r="L60" s="38">
        <f t="shared" si="2"/>
        <v>0.40124175191184075</v>
      </c>
    </row>
    <row r="61" spans="2:12" ht="14.25" hidden="1" customHeight="1" outlineLevel="1">
      <c r="B61" s="27" t="s">
        <v>48</v>
      </c>
      <c r="C61" s="27" t="s">
        <v>111</v>
      </c>
      <c r="D61" s="27" t="s">
        <v>124</v>
      </c>
      <c r="E61" s="27" t="s">
        <v>125</v>
      </c>
      <c r="F61" s="27" t="s">
        <v>125</v>
      </c>
      <c r="H61" s="36" t="str">
        <f>F61</f>
        <v>Charge d'impôt sur les bénéfices</v>
      </c>
      <c r="I61" s="29">
        <f>-SUMIFS(Balance_Générale!$C:$C,Balance_Générale!$G:$G,$C61,Balance_Générale!$H:$H,$D61,Balance_Générale!$I:$I,$E61,Balance_Générale!$J:$J,$F61)/1000</f>
        <v>-1.5151199999999998</v>
      </c>
      <c r="J61" s="29">
        <f>-SUMIFS(Balance_Générale!$D:$D,Balance_Générale!$G:$G,$C61,Balance_Générale!$H:$H,$D61,Balance_Générale!$I:$I,$E61,Balance_Générale!$J:$J,$F61)/1000</f>
        <v>-6.2434500000000002</v>
      </c>
      <c r="K61" s="29">
        <f>-SUMIFS(Balance_Générale!$E:$E,Balance_Générale!$G:$G,$C61,Balance_Générale!$H:$H,$D61,Balance_Générale!$I:$I,$E61,Balance_Générale!$J:$J,$F61)/1000</f>
        <v>-5.3821000000000003</v>
      </c>
      <c r="L61" s="30">
        <f t="shared" si="2"/>
        <v>0.8847439844725995</v>
      </c>
    </row>
    <row r="62" spans="2:12" ht="14.25" hidden="1" customHeight="1" outlineLevel="1">
      <c r="B62" s="27" t="s">
        <v>48</v>
      </c>
      <c r="C62" s="27" t="s">
        <v>111</v>
      </c>
      <c r="D62" s="27" t="s">
        <v>124</v>
      </c>
      <c r="E62" s="27" t="s">
        <v>126</v>
      </c>
      <c r="F62" s="27" t="s">
        <v>126</v>
      </c>
      <c r="H62" s="36" t="str">
        <f>F62</f>
        <v>Reports de déficits fiscaux</v>
      </c>
      <c r="I62" s="29">
        <f>-SUMIFS(Balance_Générale!$C:$C,Balance_Générale!$G:$G,$C62,Balance_Générale!$H:$H,$D62,Balance_Générale!$I:$I,$E62,Balance_Générale!$J:$J,$F62)/1000</f>
        <v>14.57019</v>
      </c>
      <c r="J62" s="29">
        <f>-SUMIFS(Balance_Générale!$D:$D,Balance_Générale!$G:$G,$C62,Balance_Générale!$H:$H,$D62,Balance_Générale!$I:$I,$E62,Balance_Générale!$J:$J,$F62)/1000</f>
        <v>0</v>
      </c>
      <c r="K62" s="29">
        <f>-SUMIFS(Balance_Générale!$E:$E,Balance_Générale!$G:$G,$C62,Balance_Générale!$H:$H,$D62,Balance_Générale!$I:$I,$E62,Balance_Générale!$J:$J,$F62)/1000</f>
        <v>0</v>
      </c>
      <c r="L62" s="30" t="str">
        <f t="shared" si="2"/>
        <v>n.a.</v>
      </c>
    </row>
    <row r="63" spans="2:12" ht="14.25" customHeight="1" collapsed="1">
      <c r="B63" s="31" t="s">
        <v>127</v>
      </c>
      <c r="C63" s="31" t="s">
        <v>54</v>
      </c>
      <c r="D63" s="31" t="s">
        <v>54</v>
      </c>
      <c r="E63" s="31" t="s">
        <v>54</v>
      </c>
      <c r="F63" s="31" t="s">
        <v>54</v>
      </c>
      <c r="H63" t="s">
        <v>124</v>
      </c>
      <c r="I63" s="37">
        <f>SUM(I61:I62)</f>
        <v>13.055070000000001</v>
      </c>
      <c r="J63" s="37">
        <f>SUM(J61:J62)</f>
        <v>-6.2434500000000002</v>
      </c>
      <c r="K63" s="37">
        <f>SUM(K61:K62)</f>
        <v>-5.3821000000000003</v>
      </c>
      <c r="L63" s="38" t="str">
        <f t="shared" si="2"/>
        <v>n.a.</v>
      </c>
    </row>
    <row r="64" spans="2:12" ht="15.75" customHeight="1">
      <c r="B64" s="31" t="s">
        <v>128</v>
      </c>
      <c r="C64" s="31"/>
      <c r="D64" s="31"/>
      <c r="E64" s="31"/>
      <c r="F64" s="31"/>
      <c r="H64" s="45" t="s">
        <v>129</v>
      </c>
      <c r="I64" s="46">
        <f>SUM(I63,I60,I55,I51)</f>
        <v>28.377630499999981</v>
      </c>
      <c r="J64" s="46">
        <f>SUM(J63,J60,J55,J51)</f>
        <v>35.016916300000034</v>
      </c>
      <c r="K64" s="46">
        <f>SUM(K63,K60,K55,K51)</f>
        <v>34.372155699999979</v>
      </c>
      <c r="L64" s="47">
        <f t="shared" si="2"/>
        <v>0.10056404489496029</v>
      </c>
    </row>
    <row r="65" spans="8:12" ht="14.25" customHeight="1"/>
    <row r="66" spans="8:12" ht="14.25" customHeight="1">
      <c r="H66" s="48" t="s">
        <v>130</v>
      </c>
      <c r="I66" s="49"/>
      <c r="J66" s="49"/>
      <c r="K66" s="49"/>
      <c r="L66" s="48" t="s">
        <v>131</v>
      </c>
    </row>
    <row r="67" spans="8:12" ht="14.25" customHeight="1">
      <c r="H67" t="s">
        <v>132</v>
      </c>
      <c r="I67" s="50">
        <f>IFERROR(I16 / I8 * 100,"")</f>
        <v>93.576074059430852</v>
      </c>
      <c r="J67" s="50">
        <f>IFERROR(J16 / J8 * 100,"")</f>
        <v>94.865600481218209</v>
      </c>
      <c r="K67" s="50">
        <f>IFERROR(K16 / K8 * 100,"")</f>
        <v>90.559249040603731</v>
      </c>
      <c r="L67" s="51">
        <f>IFERROR(K67-I67,"n.a.")</f>
        <v>-3.0168250188271202</v>
      </c>
    </row>
    <row r="68" spans="8:12" ht="14.25" customHeight="1">
      <c r="H68" t="s">
        <v>133</v>
      </c>
      <c r="I68" s="50">
        <f>IFERROR(I47 / I8 * 100,"")</f>
        <v>12.923538132667876</v>
      </c>
      <c r="J68" s="50">
        <f>IFERROR(J47 / J8 * 100,"")</f>
        <v>18.524978898640562</v>
      </c>
      <c r="K68" s="50">
        <f>IFERROR(K47 / K8 * 100,"")</f>
        <v>14.633853581772307</v>
      </c>
      <c r="L68" s="51">
        <f>IFERROR(K68-I68,"n.a.")</f>
        <v>1.7103154491044315</v>
      </c>
    </row>
    <row r="69" spans="8:12" ht="14.25" customHeight="1">
      <c r="H69" t="s">
        <v>134</v>
      </c>
      <c r="I69" s="50">
        <f>IFERROR(ABS(I14+I20+I22+I45) / I8 * 100,"")</f>
        <v>20.230610720775577</v>
      </c>
      <c r="J69" s="50">
        <f>IFERROR(ABS(J14+J20+J22+J45) / J8 * 100,"")</f>
        <v>11.798947945982993</v>
      </c>
      <c r="K69" s="50">
        <f>IFERROR(ABS(K14+K20+K22+K45) / K8 * 100,"")</f>
        <v>17.232922860642923</v>
      </c>
      <c r="L69" s="51">
        <f>IFERROR(K69-I69,"n.a.")</f>
        <v>-2.997687860132654</v>
      </c>
    </row>
    <row r="70" spans="8:12" ht="14.25" customHeight="1">
      <c r="H70" t="s">
        <v>135</v>
      </c>
      <c r="I70" s="50">
        <f>IFERROR(I64 / I8 * 100,"")</f>
        <v>9.5462330801075588</v>
      </c>
      <c r="J70" s="50">
        <f>IFERROR(J64 / J8 * 100,"")</f>
        <v>9.6182316686063718</v>
      </c>
      <c r="K70" s="50">
        <f>IFERROR(K64 / K8 * 100,"")</f>
        <v>7.5515711605038209</v>
      </c>
      <c r="L70" s="51">
        <f>IFERROR(K70-I70,"n.a.")</f>
        <v>-1.9946619196037378</v>
      </c>
    </row>
    <row r="72" spans="8:12" ht="14.25" customHeight="1">
      <c r="H72" s="48" t="s">
        <v>136</v>
      </c>
      <c r="I72" s="49"/>
      <c r="J72" s="49"/>
      <c r="K72" s="49"/>
      <c r="L72" s="49"/>
    </row>
    <row r="73" spans="8:12" ht="14.25" customHeight="1">
      <c r="H73" t="s">
        <v>137</v>
      </c>
      <c r="I73" s="37">
        <f>-(SUMIFS(Balance_Générale!$C:$C,Balance_Générale!$A:$A,"6*")+SUMIFS(Balance_Générale!$C:$C,Balance_Générale!$A:$A,"7*"))/1000</f>
        <v>28.37763049999997</v>
      </c>
      <c r="J73" s="37">
        <f>-(SUMIFS(Balance_Générale!$D:$D,Balance_Générale!$A:$A,"6*")+SUMIFS(Balance_Générale!$D:$D,Balance_Générale!$A:$A,"7*"))/1000</f>
        <v>35.016916300000041</v>
      </c>
      <c r="K73" s="37">
        <f>-(SUMIFS(Balance_Générale!$E:$E,Balance_Générale!$A:$A,"6*")+SUMIFS(Balance_Générale!$E:$E,Balance_Générale!$A:$A,"7*"))/1000</f>
        <v>34.3721557</v>
      </c>
    </row>
    <row r="74" spans="8:12" ht="14.25" customHeight="1">
      <c r="H74" t="s">
        <v>138</v>
      </c>
      <c r="I74" s="37">
        <f>I64</f>
        <v>28.377630499999981</v>
      </c>
      <c r="J74" s="37">
        <f>J64</f>
        <v>35.016916300000034</v>
      </c>
      <c r="K74" s="37">
        <f>K64</f>
        <v>34.372155699999979</v>
      </c>
    </row>
    <row r="75" spans="8:12" ht="14.25" customHeight="1">
      <c r="H75" s="52" t="s">
        <v>139</v>
      </c>
      <c r="I75" s="53">
        <f>ROUND(I73-I74,9)</f>
        <v>0</v>
      </c>
      <c r="J75" s="53">
        <f>ROUND(J73-J74,9)</f>
        <v>0</v>
      </c>
      <c r="K75" s="53">
        <f>ROUND(K73-K74,9)</f>
        <v>0</v>
      </c>
    </row>
    <row r="78" spans="8:12" ht="19.5" customHeight="1">
      <c r="H78" s="97" t="s">
        <v>140</v>
      </c>
    </row>
  </sheetData>
  <conditionalFormatting sqref="I75:K75">
    <cfRule type="cellIs" dxfId="21" priority="4" operator="equal">
      <formula>0</formula>
    </cfRule>
    <cfRule type="cellIs" dxfId="20" priority="5" operator="notEqual">
      <formula>0</formula>
    </cfRule>
  </conditionalFormatting>
  <conditionalFormatting sqref="L67:L70">
    <cfRule type="cellIs" dxfId="19" priority="2" operator="greaterThan">
      <formula>0</formula>
    </cfRule>
    <cfRule type="cellIs" dxfId="18" priority="3" operator="lessThan">
      <formula>0</formula>
    </cfRule>
  </conditionalFormatting>
  <hyperlinks>
    <hyperlink ref="H78" r:id="rId1" tooltip="Ouvrir aletheia-insight.com" xr:uid="{AE1857BF-3ED0-4CEC-BCFE-037142169FBF}"/>
  </hyperlinks>
  <pageMargins left="0.75" right="0.75" top="1" bottom="1"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A9D8F"/>
  </sheetPr>
  <dimension ref="A1:L65"/>
  <sheetViews>
    <sheetView showGridLines="0" zoomScale="85" zoomScaleNormal="85" workbookViewId="0">
      <pane xSplit="8" ySplit="5" topLeftCell="I8" activePane="bottomRight" state="frozen"/>
      <selection pane="topRight" activeCell="I1" sqref="I1"/>
      <selection pane="bottomLeft" activeCell="A8" sqref="A8"/>
      <selection pane="bottomRight"/>
    </sheetView>
  </sheetViews>
  <sheetFormatPr defaultColWidth="8.7109375" defaultRowHeight="15" outlineLevelRow="2" outlineLevelCol="1"/>
  <cols>
    <col min="2" max="2" width="20" hidden="1" customWidth="1" outlineLevel="1"/>
    <col min="3" max="6" width="16" hidden="1" customWidth="1" outlineLevel="1"/>
    <col min="7" max="7" width="0.85546875" customWidth="1" collapsed="1"/>
    <col min="8" max="8" width="40" customWidth="1"/>
    <col min="9" max="11" width="16" customWidth="1"/>
    <col min="12" max="12" width="12" customWidth="1"/>
  </cols>
  <sheetData>
    <row r="1" spans="1:12" ht="21.75" customHeight="1">
      <c r="A1" s="21" t="s">
        <v>2</v>
      </c>
    </row>
    <row r="2" spans="1:12" ht="15.75" customHeight="1">
      <c r="A2" s="22" t="s">
        <v>141</v>
      </c>
    </row>
    <row r="3" spans="1:12" ht="7.5" customHeight="1"/>
    <row r="4" spans="1:12" ht="14.25" customHeight="1">
      <c r="H4" s="23" t="s">
        <v>142</v>
      </c>
    </row>
    <row r="5" spans="1:12" ht="14.25" customHeight="1">
      <c r="B5" s="24" t="s">
        <v>143</v>
      </c>
      <c r="C5" s="24" t="s">
        <v>39</v>
      </c>
      <c r="D5" s="24" t="s">
        <v>40</v>
      </c>
      <c r="E5" s="24" t="s">
        <v>41</v>
      </c>
      <c r="F5" s="24" t="s">
        <v>42</v>
      </c>
      <c r="H5" s="25" t="s">
        <v>43</v>
      </c>
      <c r="I5" s="26" t="s">
        <v>44</v>
      </c>
      <c r="J5" s="26" t="s">
        <v>45</v>
      </c>
      <c r="K5" s="26" t="s">
        <v>46</v>
      </c>
      <c r="L5" s="26" t="s">
        <v>47</v>
      </c>
    </row>
    <row r="6" spans="1:12" ht="14.25" hidden="1" customHeight="1" outlineLevel="1">
      <c r="B6" s="31" t="s">
        <v>144</v>
      </c>
      <c r="C6" s="27" t="s">
        <v>145</v>
      </c>
      <c r="D6" s="27" t="s">
        <v>146</v>
      </c>
      <c r="E6" s="27" t="s">
        <v>147</v>
      </c>
      <c r="F6" s="27" t="s">
        <v>54</v>
      </c>
      <c r="H6" s="36" t="s">
        <v>148</v>
      </c>
      <c r="I6" s="29">
        <f>SUMIFS(Balance_Générale!$C:$C,Balance_Générale!$G:$G,$C6,Balance_Générale!$H:$H,$D6,Balance_Générale!$I:$I,$E6,Balance_Générale!$J:$J,$F6)/1000</f>
        <v>103.60389489999999</v>
      </c>
      <c r="J6" s="29">
        <f>SUMIFS(Balance_Générale!$D:$D,Balance_Générale!$G:$G,$C6,Balance_Générale!$H:$H,$D6,Balance_Générale!$I:$I,$E6,Balance_Générale!$J:$J,$F6)/1000</f>
        <v>134.94903129999997</v>
      </c>
      <c r="K6" s="29">
        <f>SUMIFS(Balance_Générale!$E:$E,Balance_Générale!$G:$G,$C6,Balance_Générale!$H:$H,$D6,Balance_Générale!$I:$I,$E6,Balance_Générale!$J:$J,$F6)/1000</f>
        <v>115.94325260000001</v>
      </c>
      <c r="L6" s="30">
        <f>IFERROR(IF(OR(AND(I6&gt;0,K6&gt;0),AND(I6&lt;0,K6&lt;0)),(K6/I6)^(1/2)-1,"n.a."),"n.a.")</f>
        <v>5.7875839418446429E-2</v>
      </c>
    </row>
    <row r="7" spans="1:12" ht="14.25" hidden="1" customHeight="1" outlineLevel="1">
      <c r="B7" s="31" t="s">
        <v>144</v>
      </c>
      <c r="C7" s="27" t="s">
        <v>145</v>
      </c>
      <c r="D7" s="27" t="s">
        <v>146</v>
      </c>
      <c r="E7" s="27" t="s">
        <v>149</v>
      </c>
      <c r="F7" s="27" t="s">
        <v>54</v>
      </c>
      <c r="H7" s="36" t="s">
        <v>150</v>
      </c>
      <c r="I7" s="29">
        <f>SUMIFS(Balance_Générale!$C:$C,Balance_Générale!$G:$G,$C7,Balance_Générale!$H:$H,$D7,Balance_Générale!$I:$I,$E7,Balance_Générale!$J:$J,$F7)/1000</f>
        <v>-1.9259999999999999</v>
      </c>
      <c r="J7" s="29">
        <f>SUMIFS(Balance_Générale!$D:$D,Balance_Générale!$G:$G,$C7,Balance_Générale!$H:$H,$D7,Balance_Générale!$I:$I,$E7,Balance_Générale!$J:$J,$F7)/1000</f>
        <v>-1.9259999999999999</v>
      </c>
      <c r="K7" s="29">
        <f>SUMIFS(Balance_Générale!$E:$E,Balance_Générale!$G:$G,$C7,Balance_Générale!$H:$H,$D7,Balance_Générale!$I:$I,$E7,Balance_Générale!$J:$J,$F7)/1000</f>
        <v>-1.9259999999999999</v>
      </c>
      <c r="L7" s="30">
        <f>IFERROR(IF(OR(AND(I7&gt;0,K7&gt;0),AND(I7&lt;0,K7&lt;0)),(K7/I7)^(1/2)-1,"n.a."),"n.a.")</f>
        <v>0</v>
      </c>
    </row>
    <row r="8" spans="1:12" ht="14.25" customHeight="1" collapsed="1">
      <c r="B8" s="31" t="s">
        <v>151</v>
      </c>
      <c r="C8" s="31" t="s">
        <v>54</v>
      </c>
      <c r="D8" s="31" t="s">
        <v>54</v>
      </c>
      <c r="E8" s="31" t="s">
        <v>54</v>
      </c>
      <c r="F8" s="31" t="s">
        <v>54</v>
      </c>
      <c r="H8" t="s">
        <v>152</v>
      </c>
      <c r="I8" s="37">
        <f>SUM(I6:I7)</f>
        <v>101.67789489999998</v>
      </c>
      <c r="J8" s="37">
        <f>SUM(J6:J7)</f>
        <v>133.02303129999999</v>
      </c>
      <c r="K8" s="37">
        <f>SUM(K6:K7)</f>
        <v>114.01725260000001</v>
      </c>
      <c r="L8" s="50">
        <f>IFERROR(IF(AND(I8&gt;0,K8&gt;0),(K8/I8)^(1/2)-1,"n.a."),"n.a.")</f>
        <v>5.8941607725891521E-2</v>
      </c>
    </row>
    <row r="9" spans="1:12" ht="14.25" hidden="1" customHeight="1" outlineLevel="1">
      <c r="B9" s="31" t="s">
        <v>144</v>
      </c>
      <c r="C9" s="27" t="s">
        <v>145</v>
      </c>
      <c r="D9" s="27" t="s">
        <v>153</v>
      </c>
      <c r="E9" s="27" t="s">
        <v>154</v>
      </c>
      <c r="F9" s="27" t="s">
        <v>54</v>
      </c>
      <c r="H9" s="36" t="s">
        <v>155</v>
      </c>
      <c r="I9" s="29">
        <f>SUMIFS(Balance_Générale!$C:$C,Balance_Générale!$G:$G,$C9,Balance_Générale!$H:$H,$D9,Balance_Générale!$I:$I,$E9,Balance_Générale!$J:$J,$F9)/1000</f>
        <v>2.9920624</v>
      </c>
      <c r="J9" s="29">
        <f>SUMIFS(Balance_Générale!$D:$D,Balance_Générale!$G:$G,$C9,Balance_Générale!$H:$H,$D9,Balance_Générale!$I:$I,$E9,Balance_Générale!$J:$J,$F9)/1000</f>
        <v>4.7194383000000002</v>
      </c>
      <c r="K9" s="29">
        <f>SUMIFS(Balance_Générale!$E:$E,Balance_Générale!$G:$G,$C9,Balance_Générale!$H:$H,$D9,Balance_Générale!$I:$I,$E9,Balance_Générale!$J:$J,$F9)/1000</f>
        <v>7.1687752999999992</v>
      </c>
      <c r="L9" s="30">
        <f>IFERROR(IF(OR(AND(I9&gt;0,K9&gt;0),AND(I9&lt;0,K9&lt;0)),(K9/I9)^(1/2)-1,"n.a."),"n.a.")</f>
        <v>0.54787954339125355</v>
      </c>
    </row>
    <row r="10" spans="1:12" ht="14.25" hidden="1" customHeight="1" outlineLevel="1">
      <c r="B10" s="31" t="s">
        <v>144</v>
      </c>
      <c r="C10" s="27" t="s">
        <v>145</v>
      </c>
      <c r="D10" s="27" t="s">
        <v>153</v>
      </c>
      <c r="E10" s="27" t="s">
        <v>149</v>
      </c>
      <c r="F10" s="27" t="s">
        <v>54</v>
      </c>
      <c r="H10" s="36" t="s">
        <v>150</v>
      </c>
      <c r="I10" s="29">
        <f>SUMIFS(Balance_Générale!$C:$C,Balance_Générale!$G:$G,$C10,Balance_Générale!$H:$H,$D10,Balance_Générale!$I:$I,$E10,Balance_Générale!$J:$J,$F10)/1000</f>
        <v>-0.87947580000000003</v>
      </c>
      <c r="J10" s="29">
        <f>SUMIFS(Balance_Générale!$D:$D,Balance_Générale!$G:$G,$C10,Balance_Générale!$H:$H,$D10,Balance_Générale!$I:$I,$E10,Balance_Générale!$J:$J,$F10)/1000</f>
        <v>-1.3921234999999998</v>
      </c>
      <c r="K10" s="29">
        <f>SUMIFS(Balance_Générale!$E:$E,Balance_Générale!$G:$G,$C10,Balance_Générale!$H:$H,$D10,Balance_Générale!$I:$I,$E10,Balance_Générale!$J:$J,$F10)/1000</f>
        <v>-3.0014034999999999</v>
      </c>
      <c r="L10" s="30">
        <f>IFERROR(IF(OR(AND(I10&gt;0,K10&gt;0),AND(I10&lt;0,K10&lt;0)),(K10/I10)^(1/2)-1,"n.a."),"n.a.")</f>
        <v>0.84735451116690252</v>
      </c>
    </row>
    <row r="11" spans="1:12" ht="14.25" customHeight="1" collapsed="1">
      <c r="B11" s="31" t="s">
        <v>156</v>
      </c>
      <c r="C11" s="31" t="s">
        <v>54</v>
      </c>
      <c r="D11" s="31" t="s">
        <v>54</v>
      </c>
      <c r="E11" s="31" t="s">
        <v>54</v>
      </c>
      <c r="F11" s="31" t="s">
        <v>54</v>
      </c>
      <c r="H11" t="s">
        <v>157</v>
      </c>
      <c r="I11" s="37">
        <f>SUM(I9:I10)</f>
        <v>2.1125866000000002</v>
      </c>
      <c r="J11" s="37">
        <f>SUM(J9:J10)</f>
        <v>3.3273148000000003</v>
      </c>
      <c r="K11" s="37">
        <f>SUM(K9:K10)</f>
        <v>4.1673717999999997</v>
      </c>
      <c r="L11" s="50">
        <f>IFERROR(IF(AND(I11&gt;0,K11&gt;0),(K11/I11)^(1/2)-1,"n.a."),"n.a.")</f>
        <v>0.40450685728146207</v>
      </c>
    </row>
    <row r="12" spans="1:12" ht="14.25" hidden="1" customHeight="1" outlineLevel="1">
      <c r="B12" s="31" t="s">
        <v>144</v>
      </c>
      <c r="C12" s="27" t="s">
        <v>145</v>
      </c>
      <c r="D12" s="27" t="s">
        <v>158</v>
      </c>
      <c r="E12" s="27" t="s">
        <v>159</v>
      </c>
      <c r="F12" s="27" t="s">
        <v>54</v>
      </c>
      <c r="H12" s="36" t="s">
        <v>160</v>
      </c>
      <c r="I12" s="29">
        <f>SUMIFS(Balance_Générale!$C:$C,Balance_Générale!$G:$G,$C12,Balance_Générale!$H:$H,$D12,Balance_Générale!$I:$I,$E12,Balance_Générale!$J:$J,$F12)/1000</f>
        <v>0.56174999999999997</v>
      </c>
      <c r="J12" s="29">
        <f>SUMIFS(Balance_Générale!$D:$D,Balance_Générale!$G:$G,$C12,Balance_Générale!$H:$H,$D12,Balance_Générale!$I:$I,$E12,Balance_Générale!$J:$J,$F12)/1000</f>
        <v>0.56174999999999997</v>
      </c>
      <c r="K12" s="29">
        <f>SUMIFS(Balance_Générale!$E:$E,Balance_Générale!$G:$G,$C12,Balance_Générale!$H:$H,$D12,Balance_Générale!$I:$I,$E12,Balance_Générale!$J:$J,$F12)/1000</f>
        <v>3.1425900000000002</v>
      </c>
      <c r="L12" s="30">
        <f>IFERROR(IF(OR(AND(I12&gt;0,K12&gt;0),AND(I12&lt;0,K12&lt;0)),(K12/I12)^(1/2)-1,"n.a."),"n.a.")</f>
        <v>1.3652242418607408</v>
      </c>
    </row>
    <row r="13" spans="1:12" ht="14.25" hidden="1" customHeight="1" outlineLevel="1">
      <c r="B13" s="31" t="s">
        <v>144</v>
      </c>
      <c r="C13" s="27" t="s">
        <v>145</v>
      </c>
      <c r="D13" s="27" t="s">
        <v>158</v>
      </c>
      <c r="E13" s="27" t="s">
        <v>161</v>
      </c>
      <c r="F13" s="27" t="s">
        <v>54</v>
      </c>
      <c r="H13" s="36" t="s">
        <v>162</v>
      </c>
      <c r="I13" s="29">
        <f>SUMIFS(Balance_Générale!$C:$C,Balance_Générale!$G:$G,$C13,Balance_Générale!$H:$H,$D13,Balance_Générale!$I:$I,$E13,Balance_Générale!$J:$J,$F13)/1000</f>
        <v>4.2799999999999998E-2</v>
      </c>
      <c r="J13" s="29">
        <f>SUMIFS(Balance_Générale!$D:$D,Balance_Générale!$G:$G,$C13,Balance_Générale!$H:$H,$D13,Balance_Générale!$I:$I,$E13,Balance_Générale!$J:$J,$F13)/1000</f>
        <v>4.2799999999999998E-2</v>
      </c>
      <c r="K13" s="29">
        <f>SUMIFS(Balance_Générale!$E:$E,Balance_Générale!$G:$G,$C13,Balance_Générale!$H:$H,$D13,Balance_Générale!$I:$I,$E13,Balance_Générale!$J:$J,$F13)/1000</f>
        <v>4.2799999999999998E-2</v>
      </c>
      <c r="L13" s="30">
        <f>IFERROR(IF(OR(AND(I13&gt;0,K13&gt;0),AND(I13&lt;0,K13&lt;0)),(K13/I13)^(1/2)-1,"n.a."),"n.a.")</f>
        <v>0</v>
      </c>
    </row>
    <row r="14" spans="1:12" ht="14.25" customHeight="1" collapsed="1">
      <c r="B14" s="31" t="s">
        <v>163</v>
      </c>
      <c r="C14" s="31" t="s">
        <v>54</v>
      </c>
      <c r="D14" s="31" t="s">
        <v>54</v>
      </c>
      <c r="E14" s="31" t="s">
        <v>54</v>
      </c>
      <c r="F14" s="31" t="s">
        <v>54</v>
      </c>
      <c r="H14" t="s">
        <v>164</v>
      </c>
      <c r="I14" s="37">
        <f>SUM(I12:I13)</f>
        <v>0.60454999999999992</v>
      </c>
      <c r="J14" s="37">
        <f>SUM(J12:J13)</f>
        <v>0.60454999999999992</v>
      </c>
      <c r="K14" s="37">
        <f>SUM(K12:K13)</f>
        <v>3.1853900000000004</v>
      </c>
      <c r="L14" s="50">
        <f>IFERROR(IF(AND(I14&gt;0,K14&gt;0),(K14/I14)^(1/2)-1,"n.a."),"n.a.")</f>
        <v>1.295436025828768</v>
      </c>
    </row>
    <row r="15" spans="1:12" ht="14.25" customHeight="1">
      <c r="B15" s="31" t="s">
        <v>165</v>
      </c>
      <c r="C15" s="31"/>
      <c r="D15" s="31"/>
      <c r="E15" s="31"/>
      <c r="F15" s="31"/>
      <c r="H15" s="32" t="s">
        <v>166</v>
      </c>
      <c r="I15" s="33">
        <f>I8+I11+I14</f>
        <v>104.39503149999999</v>
      </c>
      <c r="J15" s="33">
        <f>J8+J11+J14</f>
        <v>136.95489609999998</v>
      </c>
      <c r="K15" s="33">
        <f>K8+K11+K14</f>
        <v>121.3700144</v>
      </c>
      <c r="L15" s="54">
        <f>IFERROR(IF(AND(I15&gt;0,K15&gt;0),(K15/I15)^(1/2)-1,"n.a."),"n.a.")</f>
        <v>7.8240863677220052E-2</v>
      </c>
    </row>
    <row r="16" spans="1:12" ht="14.25" hidden="1" customHeight="1" outlineLevel="1">
      <c r="B16" s="31" t="s">
        <v>144</v>
      </c>
      <c r="C16" s="27" t="s">
        <v>167</v>
      </c>
      <c r="D16" s="27" t="s">
        <v>168</v>
      </c>
      <c r="E16" s="27" t="s">
        <v>169</v>
      </c>
      <c r="F16" s="27" t="s">
        <v>54</v>
      </c>
      <c r="H16" s="36" t="s">
        <v>170</v>
      </c>
      <c r="I16" s="29">
        <f>SUMIFS(Balance_Générale!$C:$C,Balance_Générale!$G:$G,$C16,Balance_Générale!$H:$H,$D16,Balance_Générale!$I:$I,$E16,Balance_Générale!$J:$J,$F16)/1000</f>
        <v>5.4810108</v>
      </c>
      <c r="J16" s="29">
        <f>SUMIFS(Balance_Générale!$D:$D,Balance_Générale!$G:$G,$C16,Balance_Générale!$H:$H,$D16,Balance_Générale!$I:$I,$E16,Balance_Générale!$J:$J,$F16)/1000</f>
        <v>1.0472303999999999</v>
      </c>
      <c r="K16" s="29">
        <f>SUMIFS(Balance_Générale!$E:$E,Balance_Générale!$G:$G,$C16,Balance_Générale!$H:$H,$D16,Balance_Générale!$I:$I,$E16,Balance_Générale!$J:$J,$F16)/1000</f>
        <v>5.3892262000000004</v>
      </c>
      <c r="L16" s="30">
        <f>IFERROR(IF(OR(AND(I16&gt;0,K16&gt;0),AND(I16&lt;0,K16&lt;0)),(K16/I16)^(1/2)-1,"n.a."),"n.a.")</f>
        <v>-8.4083127464965601E-3</v>
      </c>
    </row>
    <row r="17" spans="2:12" ht="14.25" customHeight="1" collapsed="1">
      <c r="B17" s="31" t="s">
        <v>171</v>
      </c>
      <c r="C17" s="31" t="s">
        <v>54</v>
      </c>
      <c r="D17" s="31" t="s">
        <v>54</v>
      </c>
      <c r="E17" s="31" t="s">
        <v>54</v>
      </c>
      <c r="F17" s="31" t="s">
        <v>54</v>
      </c>
      <c r="H17" t="s">
        <v>172</v>
      </c>
      <c r="I17" s="37">
        <f>SUM(I16:I16)</f>
        <v>5.4810108</v>
      </c>
      <c r="J17" s="37">
        <f>SUM(J16:J16)</f>
        <v>1.0472303999999999</v>
      </c>
      <c r="K17" s="37">
        <f>SUM(K16:K16)</f>
        <v>5.3892262000000004</v>
      </c>
      <c r="L17" s="50">
        <f>IFERROR(IF(AND(I17&gt;0,K17&gt;0),(K17/I17)^(1/2)-1,"n.a."),"n.a.")</f>
        <v>-8.4083127464965601E-3</v>
      </c>
    </row>
    <row r="18" spans="2:12" ht="14.25" hidden="1" customHeight="1" outlineLevel="1">
      <c r="B18" s="31" t="s">
        <v>144</v>
      </c>
      <c r="C18" s="27" t="s">
        <v>167</v>
      </c>
      <c r="D18" s="27" t="s">
        <v>173</v>
      </c>
      <c r="E18" s="27" t="s">
        <v>174</v>
      </c>
      <c r="F18" s="27" t="s">
        <v>54</v>
      </c>
      <c r="H18" s="36" t="s">
        <v>175</v>
      </c>
      <c r="I18" s="29">
        <f>SUMIFS(Balance_Générale!$C:$C,Balance_Générale!$G:$G,$C18,Balance_Générale!$H:$H,$D18,Balance_Générale!$I:$I,$E18,Balance_Générale!$J:$J,$F18)/1000</f>
        <v>29.341176200000003</v>
      </c>
      <c r="J18" s="29">
        <f>SUMIFS(Balance_Générale!$D:$D,Balance_Générale!$G:$G,$C18,Balance_Générale!$H:$H,$D18,Balance_Générale!$I:$I,$E18,Balance_Générale!$J:$J,$F18)/1000</f>
        <v>46.580951999999996</v>
      </c>
      <c r="K18" s="29">
        <f>SUMIFS(Balance_Générale!$E:$E,Balance_Générale!$G:$G,$C18,Balance_Générale!$H:$H,$D18,Balance_Générale!$I:$I,$E18,Balance_Générale!$J:$J,$F18)/1000</f>
        <v>47.8415404</v>
      </c>
      <c r="L18" s="30">
        <f>IFERROR(IF(OR(AND(I18&gt;0,K18&gt;0),AND(I18&lt;0,K18&lt;0)),(K18/I18)^(1/2)-1,"n.a."),"n.a.")</f>
        <v>0.27692037737723596</v>
      </c>
    </row>
    <row r="19" spans="2:12" ht="14.25" customHeight="1" collapsed="1">
      <c r="B19" s="31" t="s">
        <v>176</v>
      </c>
      <c r="C19" s="31" t="s">
        <v>54</v>
      </c>
      <c r="D19" s="31" t="s">
        <v>54</v>
      </c>
      <c r="E19" s="31" t="s">
        <v>54</v>
      </c>
      <c r="F19" s="31" t="s">
        <v>54</v>
      </c>
      <c r="H19" t="s">
        <v>177</v>
      </c>
      <c r="I19" s="37">
        <f>SUM(I18:I18)</f>
        <v>29.341176200000003</v>
      </c>
      <c r="J19" s="37">
        <f>SUM(J18:J18)</f>
        <v>46.580951999999996</v>
      </c>
      <c r="K19" s="37">
        <f>SUM(K18:K18)</f>
        <v>47.8415404</v>
      </c>
      <c r="L19" s="50">
        <f>IFERROR(IF(AND(I19&gt;0,K19&gt;0),(K19/I19)^(1/2)-1,"n.a."),"n.a.")</f>
        <v>0.27692037737723596</v>
      </c>
    </row>
    <row r="20" spans="2:12" ht="14.25" hidden="1" customHeight="1" outlineLevel="1">
      <c r="B20" s="31" t="s">
        <v>144</v>
      </c>
      <c r="C20" s="27" t="s">
        <v>178</v>
      </c>
      <c r="D20" s="27" t="s">
        <v>179</v>
      </c>
      <c r="E20" s="27" t="s">
        <v>180</v>
      </c>
      <c r="F20" s="27" t="s">
        <v>54</v>
      </c>
      <c r="H20" s="36" t="s">
        <v>181</v>
      </c>
      <c r="I20" s="29">
        <f>SUMIFS(Balance_Générale!$C:$C,Balance_Générale!$G:$G,$C20,Balance_Générale!$H:$H,$D20,Balance_Générale!$I:$I,$E20,Balance_Générale!$J:$J,$F20)/1000</f>
        <v>-45.396729500000006</v>
      </c>
      <c r="J20" s="29">
        <f>SUMIFS(Balance_Générale!$D:$D,Balance_Générale!$G:$G,$C20,Balance_Générale!$H:$H,$D20,Balance_Générale!$I:$I,$E20,Balance_Générale!$J:$J,$F20)/1000</f>
        <v>-105.48069629999999</v>
      </c>
      <c r="K20" s="29">
        <f>SUMIFS(Balance_Générale!$E:$E,Balance_Générale!$G:$G,$C20,Balance_Générale!$H:$H,$D20,Balance_Générale!$I:$I,$E20,Balance_Générale!$J:$J,$F20)/1000</f>
        <v>-73.121520900000007</v>
      </c>
      <c r="L20" s="30">
        <f>IFERROR(IF(OR(AND(I20&gt;0,K20&gt;0),AND(I20&lt;0,K20&lt;0)),(K20/I20)^(1/2)-1,"n.a."),"n.a.")</f>
        <v>0.26914231650270937</v>
      </c>
    </row>
    <row r="21" spans="2:12" ht="14.25" customHeight="1" collapsed="1">
      <c r="B21" s="31" t="s">
        <v>182</v>
      </c>
      <c r="C21" s="31" t="s">
        <v>54</v>
      </c>
      <c r="D21" s="31" t="s">
        <v>54</v>
      </c>
      <c r="E21" s="31" t="s">
        <v>54</v>
      </c>
      <c r="F21" s="31" t="s">
        <v>54</v>
      </c>
      <c r="H21" t="s">
        <v>183</v>
      </c>
      <c r="I21" s="37">
        <f>SUM(I20:I20)</f>
        <v>-45.396729500000006</v>
      </c>
      <c r="J21" s="37">
        <f>SUM(J20:J20)</f>
        <v>-105.48069629999999</v>
      </c>
      <c r="K21" s="37">
        <f>SUM(K20:K20)</f>
        <v>-73.121520900000007</v>
      </c>
      <c r="L21" s="50" t="str">
        <f>IFERROR(IF(AND(I21&gt;0,K21&gt;0),(K21/I21)^(1/2)-1,"n.a."),"n.a.")</f>
        <v>n.a.</v>
      </c>
    </row>
    <row r="22" spans="2:12" ht="14.25" customHeight="1">
      <c r="B22" s="31" t="s">
        <v>184</v>
      </c>
      <c r="C22" s="31"/>
      <c r="D22" s="31"/>
      <c r="E22" s="31"/>
      <c r="F22" s="31"/>
      <c r="H22" s="32" t="s">
        <v>185</v>
      </c>
      <c r="I22" s="33">
        <f>I17+I19+I21</f>
        <v>-10.574542500000007</v>
      </c>
      <c r="J22" s="33">
        <f>J17+J19+J21</f>
        <v>-57.852513899999998</v>
      </c>
      <c r="K22" s="33">
        <f>K17+K19+K21</f>
        <v>-19.890754300000005</v>
      </c>
      <c r="L22" s="54" t="str">
        <f>IFERROR(IF(AND(I22&gt;0,K22&gt;0),(K22/I22)^(1/2)-1,"n.a."),"n.a.")</f>
        <v>n.a.</v>
      </c>
    </row>
    <row r="23" spans="2:12" ht="14.25" hidden="1" customHeight="1" outlineLevel="1">
      <c r="B23" s="31" t="s">
        <v>144</v>
      </c>
      <c r="C23" s="27" t="s">
        <v>167</v>
      </c>
      <c r="D23" s="27" t="s">
        <v>186</v>
      </c>
      <c r="E23" s="27" t="s">
        <v>187</v>
      </c>
      <c r="F23" s="27" t="s">
        <v>54</v>
      </c>
      <c r="H23" s="36" t="s">
        <v>188</v>
      </c>
      <c r="I23" s="29">
        <f>SUMIFS(Balance_Générale!$C:$C,Balance_Générale!$G:$G,$C23,Balance_Générale!$H:$H,$D23,Balance_Générale!$I:$I,$E23,Balance_Générale!$J:$J,$F23)/1000</f>
        <v>0.71332620000000002</v>
      </c>
      <c r="J23" s="29">
        <f>SUMIFS(Balance_Générale!$D:$D,Balance_Générale!$G:$G,$C23,Balance_Générale!$H:$H,$D23,Balance_Générale!$I:$I,$E23,Balance_Générale!$J:$J,$F23)/1000</f>
        <v>1.4266524</v>
      </c>
      <c r="K23" s="29">
        <f>SUMIFS(Balance_Générale!$E:$E,Balance_Générale!$G:$G,$C23,Balance_Générale!$H:$H,$D23,Balance_Générale!$I:$I,$E23,Balance_Générale!$J:$J,$F23)/1000</f>
        <v>1.4266524</v>
      </c>
      <c r="L23" s="30">
        <f>IFERROR(IF(OR(AND(I23&gt;0,K23&gt;0),AND(I23&lt;0,K23&lt;0)),(K23/I23)^(1/2)-1,"n.a."),"n.a.")</f>
        <v>0.41421356237309515</v>
      </c>
    </row>
    <row r="24" spans="2:12" ht="14.25" customHeight="1" collapsed="1">
      <c r="B24" s="31" t="s">
        <v>189</v>
      </c>
      <c r="C24" s="31" t="s">
        <v>54</v>
      </c>
      <c r="D24" s="31" t="s">
        <v>54</v>
      </c>
      <c r="E24" s="31" t="s">
        <v>54</v>
      </c>
      <c r="F24" s="31" t="s">
        <v>54</v>
      </c>
      <c r="H24" t="s">
        <v>190</v>
      </c>
      <c r="I24" s="37">
        <f>SUM(I23:I23)</f>
        <v>0.71332620000000002</v>
      </c>
      <c r="J24" s="37">
        <f>SUM(J23:J23)</f>
        <v>1.4266524</v>
      </c>
      <c r="K24" s="37">
        <f>SUM(K23:K23)</f>
        <v>1.4266524</v>
      </c>
      <c r="L24" s="50">
        <f>IFERROR(IF(AND(I24&gt;0,K24&gt;0),(K24/I24)^(1/2)-1,"n.a."),"n.a.")</f>
        <v>0.41421356237309515</v>
      </c>
    </row>
    <row r="25" spans="2:12" ht="14.25" hidden="1" customHeight="1" outlineLevel="1">
      <c r="B25" s="31" t="s">
        <v>144</v>
      </c>
      <c r="C25" s="27" t="s">
        <v>167</v>
      </c>
      <c r="D25" s="27" t="s">
        <v>191</v>
      </c>
      <c r="E25" s="27" t="s">
        <v>192</v>
      </c>
      <c r="F25" s="27" t="s">
        <v>54</v>
      </c>
      <c r="H25" s="36" t="s">
        <v>193</v>
      </c>
      <c r="I25" s="29">
        <f>SUMIFS(Balance_Générale!$C:$C,Balance_Générale!$G:$G,$C25,Balance_Générale!$H:$H,$D25,Balance_Générale!$I:$I,$E25,Balance_Générale!$J:$J,$F25)/1000</f>
        <v>2.9540988000000001</v>
      </c>
      <c r="J25" s="29">
        <f>SUMIFS(Balance_Générale!$D:$D,Balance_Générale!$G:$G,$C25,Balance_Générale!$H:$H,$D25,Balance_Générale!$I:$I,$E25,Balance_Générale!$J:$J,$F25)/1000</f>
        <v>1.9183494999999999</v>
      </c>
      <c r="K25" s="29">
        <f>SUMIFS(Balance_Générale!$E:$E,Balance_Générale!$G:$G,$C25,Balance_Générale!$H:$H,$D25,Balance_Générale!$I:$I,$E25,Balance_Générale!$J:$J,$F25)/1000</f>
        <v>3.7298701999999997</v>
      </c>
      <c r="L25" s="30">
        <f>IFERROR(IF(OR(AND(I25&gt;0,K25&gt;0),AND(I25&lt;0,K25&lt;0)),(K25/I25)^(1/2)-1,"n.a."),"n.a.")</f>
        <v>0.12365852529879007</v>
      </c>
    </row>
    <row r="26" spans="2:12" ht="14.25" customHeight="1" collapsed="1">
      <c r="B26" s="31" t="s">
        <v>194</v>
      </c>
      <c r="C26" s="31" t="s">
        <v>54</v>
      </c>
      <c r="D26" s="31" t="s">
        <v>54</v>
      </c>
      <c r="E26" s="31" t="s">
        <v>54</v>
      </c>
      <c r="F26" s="31" t="s">
        <v>54</v>
      </c>
      <c r="H26" t="s">
        <v>195</v>
      </c>
      <c r="I26" s="37">
        <f>SUM(I25:I25)</f>
        <v>2.9540988000000001</v>
      </c>
      <c r="J26" s="37">
        <f>SUM(J25:J25)</f>
        <v>1.9183494999999999</v>
      </c>
      <c r="K26" s="37">
        <f>SUM(K25:K25)</f>
        <v>3.7298701999999997</v>
      </c>
      <c r="L26" s="50">
        <f>IFERROR(IF(AND(I26&gt;0,K26&gt;0),(K26/I26)^(1/2)-1,"n.a."),"n.a.")</f>
        <v>0.12365852529879007</v>
      </c>
    </row>
    <row r="27" spans="2:12" ht="14.25" customHeight="1">
      <c r="B27" s="31" t="s">
        <v>196</v>
      </c>
      <c r="C27" s="31" t="s">
        <v>54</v>
      </c>
      <c r="D27" s="31" t="s">
        <v>54</v>
      </c>
      <c r="E27" s="31" t="s">
        <v>54</v>
      </c>
      <c r="F27" s="31" t="s">
        <v>54</v>
      </c>
      <c r="H27" t="s">
        <v>197</v>
      </c>
      <c r="I27" s="37">
        <f>SUMIFS(Balance_Générale!$C:$C,Balance_Générale!$G:$G,$C27,Balance_Générale!$H:$H,$D27,Balance_Générale!$I:$I,$E27,Balance_Générale!$J:$J,$F27)/1000</f>
        <v>3.637978807091713E-14</v>
      </c>
      <c r="J27" s="37">
        <f>SUMIFS(Balance_Générale!$D:$D,Balance_Générale!$G:$G,$C27,Balance_Générale!$H:$H,$D27,Balance_Générale!$I:$I,$E27,Balance_Générale!$J:$J,$F27)/1000</f>
        <v>3.8198777474462988E-14</v>
      </c>
      <c r="K27" s="37">
        <f>SUMIFS(Balance_Générale!$E:$E,Balance_Générale!$G:$G,$C27,Balance_Générale!$H:$H,$D27,Balance_Générale!$I:$I,$E27,Balance_Générale!$J:$J,$F27)/1000</f>
        <v>-1.0913936421275138E-13</v>
      </c>
      <c r="L27" s="50" t="str">
        <f>IFERROR(IF(AND(I27&gt;0,K27&gt;0),(K27/I27)^(1/2)-1,"n.a."),"n.a.")</f>
        <v>n.a.</v>
      </c>
    </row>
    <row r="28" spans="2:12" ht="14.25" hidden="1" customHeight="1" outlineLevel="1">
      <c r="B28" s="31" t="s">
        <v>144</v>
      </c>
      <c r="C28" s="27" t="s">
        <v>178</v>
      </c>
      <c r="D28" s="27" t="s">
        <v>198</v>
      </c>
      <c r="E28" s="27" t="s">
        <v>199</v>
      </c>
      <c r="F28" s="27" t="s">
        <v>54</v>
      </c>
      <c r="H28" s="36" t="s">
        <v>200</v>
      </c>
      <c r="I28" s="29">
        <f>SUMIFS(Balance_Générale!$C:$C,Balance_Générale!$G:$G,$C28,Balance_Générale!$H:$H,$D28,Balance_Générale!$I:$I,$E28,Balance_Générale!$J:$J,$F28)/1000</f>
        <v>-0.80892000000000008</v>
      </c>
      <c r="J28" s="29">
        <f>SUMIFS(Balance_Générale!$D:$D,Balance_Générale!$G:$G,$C28,Balance_Générale!$H:$H,$D28,Balance_Générale!$I:$I,$E28,Balance_Générale!$J:$J,$F28)/1000</f>
        <v>-1.8094234999999999</v>
      </c>
      <c r="K28" s="29">
        <f>SUMIFS(Balance_Générale!$E:$E,Balance_Générale!$G:$G,$C28,Balance_Générale!$H:$H,$D28,Balance_Générale!$I:$I,$E28,Balance_Générale!$J:$J,$F28)/1000</f>
        <v>-2.2563732000000001</v>
      </c>
      <c r="L28" s="30">
        <f>IFERROR(IF(OR(AND(I28&gt;0,K28&gt;0),AND(I28&lt;0,K28&lt;0)),(K28/I28)^(1/2)-1,"n.a."),"n.a.")</f>
        <v>0.67013923951420251</v>
      </c>
    </row>
    <row r="29" spans="2:12" ht="14.25" customHeight="1" collapsed="1">
      <c r="B29" s="31" t="s">
        <v>201</v>
      </c>
      <c r="C29" s="31" t="s">
        <v>178</v>
      </c>
      <c r="D29" s="31" t="s">
        <v>198</v>
      </c>
      <c r="E29" s="31" t="s">
        <v>54</v>
      </c>
      <c r="F29" s="31" t="s">
        <v>54</v>
      </c>
      <c r="H29" t="s">
        <v>202</v>
      </c>
      <c r="I29" s="37">
        <f>SUM(I28:I28)</f>
        <v>-0.80892000000000008</v>
      </c>
      <c r="J29" s="37">
        <f>SUM(J28:J28)</f>
        <v>-1.8094234999999999</v>
      </c>
      <c r="K29" s="37">
        <f>SUM(K28:K28)</f>
        <v>-2.2563732000000001</v>
      </c>
      <c r="L29" s="50" t="str">
        <f>IFERROR(IF(AND(I29&gt;0,K29&gt;0),(K29/I29)^(1/2)-1,"n.a."),"n.a.")</f>
        <v>n.a.</v>
      </c>
    </row>
    <row r="30" spans="2:12" ht="14.25" hidden="1" customHeight="1" outlineLevel="1">
      <c r="B30" s="31" t="s">
        <v>144</v>
      </c>
      <c r="C30" s="27" t="s">
        <v>178</v>
      </c>
      <c r="D30" s="27" t="s">
        <v>203</v>
      </c>
      <c r="E30" s="27" t="s">
        <v>204</v>
      </c>
      <c r="F30" s="27" t="s">
        <v>54</v>
      </c>
      <c r="H30" s="36" t="s">
        <v>204</v>
      </c>
      <c r="I30" s="29">
        <f>SUMIFS(Balance_Générale!$C:$C,Balance_Générale!$G:$G,$C30,Balance_Générale!$H:$H,$D30,Balance_Générale!$I:$I,$E30,Balance_Générale!$J:$J,$F30)/1000</f>
        <v>-7.1658114000000008</v>
      </c>
      <c r="J30" s="29">
        <f>SUMIFS(Balance_Générale!$D:$D,Balance_Générale!$G:$G,$C30,Balance_Générale!$H:$H,$D30,Balance_Générale!$I:$I,$E30,Balance_Générale!$J:$J,$F30)/1000</f>
        <v>5.1067569000000006</v>
      </c>
      <c r="K30" s="29">
        <f>SUMIFS(Balance_Générale!$E:$E,Balance_Générale!$G:$G,$C30,Balance_Générale!$H:$H,$D30,Balance_Générale!$I:$I,$E30,Balance_Générale!$J:$J,$F30)/1000</f>
        <v>-6.5733845000000004</v>
      </c>
      <c r="L30" s="30">
        <f t="shared" ref="L30:L35" si="0">IFERROR(IF(OR(AND(I30&gt;0,K30&gt;0),AND(I30&lt;0,K30&lt;0)),(K30/I30)^(1/2)-1,"n.a."),"n.a.")</f>
        <v>-4.2228672851128302E-2</v>
      </c>
    </row>
    <row r="31" spans="2:12" ht="14.25" hidden="1" customHeight="1" outlineLevel="1">
      <c r="B31" s="31" t="s">
        <v>144</v>
      </c>
      <c r="C31" s="27" t="s">
        <v>178</v>
      </c>
      <c r="D31" s="27" t="s">
        <v>205</v>
      </c>
      <c r="E31" s="27" t="s">
        <v>204</v>
      </c>
      <c r="F31" s="27" t="s">
        <v>54</v>
      </c>
      <c r="H31" s="36" t="s">
        <v>204</v>
      </c>
      <c r="I31" s="29">
        <f>SUMIFS(Balance_Générale!$C:$C,Balance_Générale!$G:$G,$C31,Balance_Générale!$H:$H,$D31,Balance_Générale!$I:$I,$E31,Balance_Générale!$J:$J,$F31)/1000</f>
        <v>0.62316800000000006</v>
      </c>
      <c r="J31" s="29">
        <f>SUMIFS(Balance_Générale!$D:$D,Balance_Générale!$G:$G,$C31,Balance_Générale!$H:$H,$D31,Balance_Générale!$I:$I,$E31,Balance_Générale!$J:$J,$F31)/1000</f>
        <v>0</v>
      </c>
      <c r="K31" s="29">
        <f>SUMIFS(Balance_Générale!$E:$E,Balance_Générale!$G:$G,$C31,Balance_Générale!$H:$H,$D31,Balance_Générale!$I:$I,$E31,Balance_Générale!$J:$J,$F31)/1000</f>
        <v>6.7713023999999997</v>
      </c>
      <c r="L31" s="30">
        <f t="shared" si="0"/>
        <v>2.2963516295950686</v>
      </c>
    </row>
    <row r="32" spans="2:12" ht="14.25" customHeight="1" collapsed="1">
      <c r="B32" s="31" t="s">
        <v>206</v>
      </c>
      <c r="C32" s="31" t="s">
        <v>54</v>
      </c>
      <c r="D32" s="31" t="s">
        <v>54</v>
      </c>
      <c r="E32" s="31" t="s">
        <v>54</v>
      </c>
      <c r="F32" s="31" t="s">
        <v>54</v>
      </c>
      <c r="H32" s="55" t="s">
        <v>207</v>
      </c>
      <c r="I32" s="56">
        <f>SUM(I30:I31)</f>
        <v>-6.5426434000000011</v>
      </c>
      <c r="J32" s="56">
        <f>SUM(J30:J31)</f>
        <v>5.1067569000000006</v>
      </c>
      <c r="K32" s="56">
        <f>SUM(K30:K31)</f>
        <v>0.19791789999999931</v>
      </c>
      <c r="L32" s="30" t="str">
        <f t="shared" si="0"/>
        <v>n.a.</v>
      </c>
    </row>
    <row r="33" spans="2:12" ht="14.25" customHeight="1">
      <c r="B33" s="31" t="s">
        <v>144</v>
      </c>
      <c r="C33" s="31" t="s">
        <v>178</v>
      </c>
      <c r="D33" s="31" t="s">
        <v>205</v>
      </c>
      <c r="E33" s="31" t="s">
        <v>124</v>
      </c>
      <c r="F33" s="31" t="s">
        <v>54</v>
      </c>
      <c r="H33" t="s">
        <v>208</v>
      </c>
      <c r="I33" s="29">
        <f>SUMIFS(Balance_Générale!$C:$C,Balance_Générale!$G:$G,$C33,Balance_Générale!$H:$H,$D33,Balance_Générale!$I:$I,$E33,Balance_Générale!$J:$J,$F33)/1000</f>
        <v>-1.5151199999999998</v>
      </c>
      <c r="J33" s="29">
        <f>SUMIFS(Balance_Générale!$D:$D,Balance_Générale!$G:$G,$C33,Balance_Générale!$H:$H,$D33,Balance_Générale!$I:$I,$E33,Balance_Générale!$J:$J,$F33)/1000</f>
        <v>-6.2434500000000002</v>
      </c>
      <c r="K33" s="29">
        <f>SUMIFS(Balance_Générale!$E:$E,Balance_Générale!$G:$G,$C33,Balance_Générale!$H:$H,$D33,Balance_Générale!$I:$I,$E33,Balance_Générale!$J:$J,$F33)/1000</f>
        <v>0.83246000000000009</v>
      </c>
      <c r="L33" s="30" t="str">
        <f t="shared" si="0"/>
        <v>n.a.</v>
      </c>
    </row>
    <row r="34" spans="2:12" ht="14.25" customHeight="1">
      <c r="B34" s="31" t="s">
        <v>144</v>
      </c>
      <c r="C34" s="31" t="s">
        <v>178</v>
      </c>
      <c r="D34" s="31" t="s">
        <v>205</v>
      </c>
      <c r="E34" s="31" t="s">
        <v>91</v>
      </c>
      <c r="F34" s="31" t="s">
        <v>54</v>
      </c>
      <c r="H34" s="55" t="s">
        <v>209</v>
      </c>
      <c r="I34" s="29">
        <f>SUMIFS(Balance_Générale!$C:$C,Balance_Générale!$G:$G,$C34,Balance_Générale!$H:$H,$D34,Balance_Générale!$I:$I,$E34,Balance_Générale!$J:$J,$F34)/1000</f>
        <v>-0.92226510000000006</v>
      </c>
      <c r="J34" s="29">
        <f>SUMIFS(Balance_Générale!$D:$D,Balance_Générale!$G:$G,$C34,Balance_Générale!$H:$H,$D34,Balance_Générale!$I:$I,$E34,Balance_Générale!$J:$J,$F34)/1000</f>
        <v>-0.63011229999999996</v>
      </c>
      <c r="K34" s="29">
        <f>SUMIFS(Balance_Générale!$E:$E,Balance_Générale!$G:$G,$C34,Balance_Générale!$H:$H,$D34,Balance_Générale!$I:$I,$E34,Balance_Générale!$J:$J,$F34)/1000</f>
        <v>-0.63587959999999999</v>
      </c>
      <c r="L34" s="30">
        <f t="shared" si="0"/>
        <v>-0.16965311855701193</v>
      </c>
    </row>
    <row r="35" spans="2:12" ht="14.25" hidden="1" customHeight="1" outlineLevel="1">
      <c r="B35" s="31" t="s">
        <v>144</v>
      </c>
      <c r="C35" s="27" t="s">
        <v>178</v>
      </c>
      <c r="D35" s="27" t="s">
        <v>210</v>
      </c>
      <c r="E35" s="27" t="s">
        <v>211</v>
      </c>
      <c r="F35" s="27" t="s">
        <v>54</v>
      </c>
      <c r="H35" s="36" t="s">
        <v>212</v>
      </c>
      <c r="I35" s="29">
        <f>SUMIFS(Balance_Générale!$C:$C,Balance_Générale!$G:$G,$C35,Balance_Générale!$H:$H,$D35,Balance_Générale!$I:$I,$E35,Balance_Générale!$J:$J,$F35)/1000</f>
        <v>-0.9181028</v>
      </c>
      <c r="J35" s="29">
        <f>SUMIFS(Balance_Générale!$D:$D,Balance_Générale!$G:$G,$C35,Balance_Générale!$H:$H,$D35,Balance_Générale!$I:$I,$E35,Balance_Générale!$J:$J,$F35)/1000</f>
        <v>-2.4750169999999998</v>
      </c>
      <c r="K35" s="29">
        <f>SUMIFS(Balance_Générale!$E:$E,Balance_Générale!$G:$G,$C35,Balance_Générale!$H:$H,$D35,Balance_Générale!$I:$I,$E35,Balance_Générale!$J:$J,$F35)/1000</f>
        <v>-4.8566016000000003</v>
      </c>
      <c r="L35" s="30">
        <f t="shared" si="0"/>
        <v>1.2999615906054216</v>
      </c>
    </row>
    <row r="36" spans="2:12" ht="14.25" customHeight="1" collapsed="1">
      <c r="B36" s="31" t="s">
        <v>213</v>
      </c>
      <c r="C36" s="31" t="s">
        <v>178</v>
      </c>
      <c r="D36" s="31" t="s">
        <v>210</v>
      </c>
      <c r="E36" s="31" t="s">
        <v>54</v>
      </c>
      <c r="F36" s="31" t="s">
        <v>54</v>
      </c>
      <c r="H36" t="s">
        <v>214</v>
      </c>
      <c r="I36" s="37">
        <f>SUM(I35:I35)</f>
        <v>-0.9181028</v>
      </c>
      <c r="J36" s="37">
        <f>SUM(J35:J35)</f>
        <v>-2.4750169999999998</v>
      </c>
      <c r="K36" s="37">
        <f>SUM(K35:K35)</f>
        <v>-4.8566016000000003</v>
      </c>
      <c r="L36" s="50" t="str">
        <f>IFERROR(IF(AND(I36&gt;0,K36&gt;0),(K36/I36)^(1/2)-1,"n.a."),"n.a.")</f>
        <v>n.a.</v>
      </c>
    </row>
    <row r="37" spans="2:12" ht="14.25" customHeight="1">
      <c r="B37" s="31" t="s">
        <v>215</v>
      </c>
      <c r="C37" s="31"/>
      <c r="D37" s="31"/>
      <c r="E37" s="31"/>
      <c r="F37" s="31"/>
      <c r="H37" s="57" t="s">
        <v>216</v>
      </c>
      <c r="I37" s="58">
        <f>I24+I26+I27+I29+I32+I33+I34+I36</f>
        <v>-7.0396262999999637</v>
      </c>
      <c r="J37" s="58">
        <f>J24+J26+J27+J29+J32+J33+J34+J36</f>
        <v>-2.7062439999999617</v>
      </c>
      <c r="K37" s="58">
        <f>K24+K26+K27+K29+K32+K33+K34+K36</f>
        <v>-1.5619539000001104</v>
      </c>
      <c r="L37" s="59" t="str">
        <f>IFERROR(IF(AND(I37&gt;0,K37&gt;0),(K37/I37)^(1/2)-1,"n.a."),"n.a.")</f>
        <v>n.a.</v>
      </c>
    </row>
    <row r="38" spans="2:12" ht="14.25" customHeight="1">
      <c r="B38" s="31" t="s">
        <v>217</v>
      </c>
      <c r="C38" s="31"/>
      <c r="D38" s="31"/>
      <c r="E38" s="31"/>
      <c r="F38" s="31"/>
      <c r="H38" s="43" t="s">
        <v>218</v>
      </c>
      <c r="I38" s="44">
        <f>I22+I37</f>
        <v>-17.61416879999997</v>
      </c>
      <c r="J38" s="44">
        <f>J22+J37</f>
        <v>-60.558757899999961</v>
      </c>
      <c r="K38" s="44">
        <f>K22+K37</f>
        <v>-21.452708200000114</v>
      </c>
      <c r="L38" s="60" t="str">
        <f>IFERROR(IF(AND(I38&gt;0,K38&gt;0),(K38/I38)^(1/2)-1,"n.a."),"n.a.")</f>
        <v>n.a.</v>
      </c>
    </row>
    <row r="39" spans="2:12" ht="14.25" hidden="1" customHeight="1" outlineLevel="1">
      <c r="B39" s="31" t="s">
        <v>144</v>
      </c>
      <c r="C39" s="27" t="s">
        <v>219</v>
      </c>
      <c r="D39" s="27" t="s">
        <v>220</v>
      </c>
      <c r="E39" s="27" t="s">
        <v>221</v>
      </c>
      <c r="F39" s="27" t="s">
        <v>54</v>
      </c>
      <c r="H39" s="36" t="s">
        <v>222</v>
      </c>
      <c r="I39" s="29">
        <f>SUMIFS(Balance_Générale!$C:$C,Balance_Générale!$G:$G,$C39,Balance_Générale!$H:$H,$D39,Balance_Générale!$I:$I,$E39,Balance_Générale!$J:$J,$F39)/1000</f>
        <v>115.1849543</v>
      </c>
      <c r="J39" s="29">
        <f>SUMIFS(Balance_Générale!$D:$D,Balance_Générale!$G:$G,$C39,Balance_Générale!$H:$H,$D39,Balance_Générale!$I:$I,$E39,Balance_Générale!$J:$J,$F39)/1000</f>
        <v>126.75030609999999</v>
      </c>
      <c r="K39" s="29">
        <f>SUMIFS(Balance_Générale!$E:$E,Balance_Générale!$G:$G,$C39,Balance_Générale!$H:$H,$D39,Balance_Générale!$I:$I,$E39,Balance_Générale!$J:$J,$F39)/1000</f>
        <v>77.2782141</v>
      </c>
      <c r="L39" s="30">
        <f>IFERROR(IF(OR(AND(I39&gt;0,K39&gt;0),AND(I39&lt;0,K39&lt;0)),(K39/I39)^(1/2)-1,"n.a."),"n.a.")</f>
        <v>-0.18091181527302658</v>
      </c>
    </row>
    <row r="40" spans="2:12" ht="14.25" customHeight="1" collapsed="1">
      <c r="B40" s="31" t="s">
        <v>223</v>
      </c>
      <c r="C40" s="31" t="s">
        <v>54</v>
      </c>
      <c r="D40" s="31" t="s">
        <v>54</v>
      </c>
      <c r="E40" s="31" t="s">
        <v>54</v>
      </c>
      <c r="F40" s="31" t="s">
        <v>54</v>
      </c>
      <c r="H40" t="s">
        <v>224</v>
      </c>
      <c r="I40" s="37">
        <f>SUM(I39:I39)</f>
        <v>115.1849543</v>
      </c>
      <c r="J40" s="37">
        <f>SUM(J39:J39)</f>
        <v>126.75030609999999</v>
      </c>
      <c r="K40" s="37">
        <f>SUM(K39:K39)</f>
        <v>77.2782141</v>
      </c>
      <c r="L40" s="50">
        <f>IFERROR(IF(AND(I40&gt;0,K40&gt;0),(K40/I40)^(1/2)-1,"n.a."),"n.a.")</f>
        <v>-0.18091181527302658</v>
      </c>
    </row>
    <row r="41" spans="2:12" ht="14.25" hidden="1" customHeight="1" outlineLevel="1">
      <c r="B41" s="31" t="s">
        <v>144</v>
      </c>
      <c r="C41" s="27" t="s">
        <v>225</v>
      </c>
      <c r="D41" s="27" t="s">
        <v>226</v>
      </c>
      <c r="E41" s="27" t="s">
        <v>227</v>
      </c>
      <c r="F41" s="27" t="s">
        <v>54</v>
      </c>
      <c r="H41" s="36" t="s">
        <v>228</v>
      </c>
      <c r="I41" s="29">
        <f>SUMIFS(Balance_Générale!$C:$C,Balance_Générale!$G:$G,$C41,Balance_Générale!$H:$H,$D41,Balance_Générale!$I:$I,$E41,Balance_Générale!$J:$J,$F41)/1000</f>
        <v>-30.2470061</v>
      </c>
      <c r="J41" s="29">
        <f>SUMIFS(Balance_Générale!$D:$D,Balance_Générale!$G:$G,$C41,Balance_Générale!$H:$H,$D41,Balance_Générale!$I:$I,$E41,Balance_Générale!$J:$J,$F41)/1000</f>
        <v>-17.810717100000002</v>
      </c>
      <c r="K41" s="29">
        <f>SUMIFS(Balance_Générale!$E:$E,Balance_Générale!$G:$G,$C41,Balance_Générale!$H:$H,$D41,Balance_Générale!$I:$I,$E41,Balance_Générale!$J:$J,$F41)/1000</f>
        <v>-5.2620246000000002</v>
      </c>
      <c r="L41" s="30">
        <f>IFERROR(IF(OR(AND(I41&gt;0,K41&gt;0),AND(I41&lt;0,K41&lt;0)),(K41/I41)^(1/2)-1,"n.a."),"n.a.")</f>
        <v>-0.58290475376251238</v>
      </c>
    </row>
    <row r="42" spans="2:12" ht="14.25" customHeight="1" collapsed="1">
      <c r="B42" s="31" t="s">
        <v>229</v>
      </c>
      <c r="C42" s="31" t="s">
        <v>54</v>
      </c>
      <c r="D42" s="31" t="s">
        <v>54</v>
      </c>
      <c r="E42" s="31" t="s">
        <v>54</v>
      </c>
      <c r="F42" s="31" t="s">
        <v>54</v>
      </c>
      <c r="H42" t="s">
        <v>230</v>
      </c>
      <c r="I42" s="37">
        <f>SUM(I41:I41)</f>
        <v>-30.2470061</v>
      </c>
      <c r="J42" s="37">
        <f>SUM(J41:J41)</f>
        <v>-17.810717100000002</v>
      </c>
      <c r="K42" s="37">
        <f>SUM(K41:K41)</f>
        <v>-5.2620246000000002</v>
      </c>
      <c r="L42" s="50" t="str">
        <f>IFERROR(IF(AND(I42&gt;0,K42&gt;0),(K42/I42)^(1/2)-1,"n.a."),"n.a.")</f>
        <v>n.a.</v>
      </c>
    </row>
    <row r="43" spans="2:12" ht="14.25" hidden="1" customHeight="1" outlineLevel="1">
      <c r="B43" s="31" t="s">
        <v>144</v>
      </c>
      <c r="C43" s="27" t="s">
        <v>178</v>
      </c>
      <c r="D43" s="27" t="s">
        <v>231</v>
      </c>
      <c r="E43" s="27" t="s">
        <v>232</v>
      </c>
      <c r="F43" s="27" t="s">
        <v>54</v>
      </c>
      <c r="H43" s="36" t="s">
        <v>233</v>
      </c>
      <c r="I43" s="29">
        <f>SUMIFS(Balance_Générale!$C:$C,Balance_Générale!$G:$G,$C43,Balance_Générale!$H:$H,$D43,Balance_Générale!$I:$I,$E43,Balance_Générale!$J:$J,$F43)/1000</f>
        <v>-38.893387199999999</v>
      </c>
      <c r="J43" s="29">
        <f>SUMIFS(Balance_Générale!$D:$D,Balance_Générale!$G:$G,$C43,Balance_Générale!$H:$H,$D43,Balance_Générale!$I:$I,$E43,Balance_Générale!$J:$J,$F43)/1000</f>
        <v>-38.893387199999999</v>
      </c>
      <c r="K43" s="29">
        <f>SUMIFS(Balance_Générale!$E:$E,Balance_Générale!$G:$G,$C43,Balance_Générale!$H:$H,$D43,Balance_Générale!$I:$I,$E43,Balance_Générale!$J:$J,$F43)/1000</f>
        <v>-23.219000000000001</v>
      </c>
      <c r="L43" s="30">
        <f>IFERROR(IF(OR(AND(I43&gt;0,K43&gt;0),AND(I43&lt;0,K43&lt;0)),(K43/I43)^(1/2)-1,"n.a."),"n.a.")</f>
        <v>-0.22734810843069675</v>
      </c>
    </row>
    <row r="44" spans="2:12" ht="14.25" customHeight="1" collapsed="1">
      <c r="B44" s="31" t="s">
        <v>234</v>
      </c>
      <c r="C44" s="31" t="s">
        <v>178</v>
      </c>
      <c r="D44" s="31" t="s">
        <v>54</v>
      </c>
      <c r="E44" s="31" t="s">
        <v>54</v>
      </c>
      <c r="F44" s="31" t="s">
        <v>54</v>
      </c>
      <c r="H44" t="s">
        <v>235</v>
      </c>
      <c r="I44" s="37">
        <f>SUM(I43:I43)</f>
        <v>-38.893387199999999</v>
      </c>
      <c r="J44" s="37">
        <f>SUM(J43:J43)</f>
        <v>-38.893387199999999</v>
      </c>
      <c r="K44" s="37">
        <f>SUM(K43:K43)</f>
        <v>-23.219000000000001</v>
      </c>
      <c r="L44" s="50" t="str">
        <f>IFERROR(IF(AND(I44&gt;0,K44&gt;0),(K44/I44)^(1/2)-1,"n.a."),"n.a.")</f>
        <v>n.a.</v>
      </c>
    </row>
    <row r="45" spans="2:12" ht="14.25" customHeight="1">
      <c r="B45" s="31" t="s">
        <v>236</v>
      </c>
      <c r="C45" s="31"/>
      <c r="D45" s="31"/>
      <c r="E45" s="31"/>
      <c r="F45" s="31"/>
      <c r="H45" s="32" t="s">
        <v>237</v>
      </c>
      <c r="I45" s="33">
        <f>I40+I42+I44</f>
        <v>46.044560999999995</v>
      </c>
      <c r="J45" s="33">
        <f>J40+J42+J44</f>
        <v>70.046201799999977</v>
      </c>
      <c r="K45" s="33">
        <f>K40+K42+K44</f>
        <v>48.797189499999995</v>
      </c>
      <c r="L45" s="54">
        <f>IFERROR(IF(AND(I45&gt;0,K45&gt;0),(K45/I45)^(1/2)-1,"n.a."),"n.a.")</f>
        <v>2.9457059956150333E-2</v>
      </c>
    </row>
    <row r="46" spans="2:12" ht="15.75" customHeight="1">
      <c r="B46" s="31" t="s">
        <v>238</v>
      </c>
      <c r="C46" s="31"/>
      <c r="D46" s="31"/>
      <c r="E46" s="31"/>
      <c r="F46" s="31"/>
      <c r="H46" s="45" t="s">
        <v>239</v>
      </c>
      <c r="I46" s="46">
        <f>I15+I38+I45</f>
        <v>132.82542370000002</v>
      </c>
      <c r="J46" s="46">
        <f>J15+J38+J45</f>
        <v>146.44234</v>
      </c>
      <c r="K46" s="46">
        <f>K15+K38+K45</f>
        <v>148.71449569999987</v>
      </c>
      <c r="L46" s="61">
        <f>IFERROR(IF(AND(I46&gt;0,K46&gt;0),(K46/I46)^(1/2)-1,"n.a."),"n.a.")</f>
        <v>5.8122736415054277E-2</v>
      </c>
    </row>
    <row r="47" spans="2:12" ht="14.25" hidden="1" customHeight="1" outlineLevel="2">
      <c r="B47" s="31" t="s">
        <v>144</v>
      </c>
      <c r="C47" s="27" t="s">
        <v>240</v>
      </c>
      <c r="D47" s="27" t="s">
        <v>241</v>
      </c>
      <c r="E47" s="27" t="s">
        <v>242</v>
      </c>
      <c r="F47" s="27" t="s">
        <v>54</v>
      </c>
      <c r="H47" s="36" t="s">
        <v>243</v>
      </c>
      <c r="I47" s="29">
        <f>-SUMIFS(Balance_Générale!$C:$C,Balance_Générale!$G:$G,$C47,Balance_Générale!$H:$H,$D47,Balance_Générale!$I:$I,$E47,Balance_Générale!$J:$J,$F47)/1000</f>
        <v>108.08568620000001</v>
      </c>
      <c r="J47" s="29">
        <f>-SUMIFS(Balance_Générale!$D:$D,Balance_Générale!$G:$G,$C47,Balance_Générale!$H:$H,$D47,Balance_Générale!$I:$I,$E47,Balance_Générale!$J:$J,$F47)/1000</f>
        <v>111.4254237</v>
      </c>
      <c r="K47" s="29">
        <f>-SUMIFS(Balance_Générale!$E:$E,Balance_Générale!$G:$G,$C47,Balance_Générale!$H:$H,$D47,Balance_Générale!$I:$I,$E47,Balance_Générale!$J:$J,$F47)/1000</f>
        <v>114.34233999999999</v>
      </c>
      <c r="L47" s="30">
        <f>IFERROR(IF(OR(AND(I47&gt;0,K47&gt;0),AND(I47&lt;0,K47&lt;0)),(K47/I47)^(1/2)-1,"n.a."),"n.a.")</f>
        <v>2.8535878504423851E-2</v>
      </c>
    </row>
    <row r="48" spans="2:12" ht="14.25" hidden="1" customHeight="1" outlineLevel="1" collapsed="1">
      <c r="B48" s="31" t="s">
        <v>244</v>
      </c>
      <c r="C48" s="31" t="s">
        <v>54</v>
      </c>
      <c r="D48" s="31" t="s">
        <v>54</v>
      </c>
      <c r="E48" s="31" t="s">
        <v>54</v>
      </c>
      <c r="F48" s="31" t="s">
        <v>54</v>
      </c>
      <c r="H48" t="s">
        <v>245</v>
      </c>
      <c r="I48" s="37">
        <f>SUM(I47:I47)</f>
        <v>108.08568620000001</v>
      </c>
      <c r="J48" s="37">
        <f>SUM(J47:J47)</f>
        <v>111.4254237</v>
      </c>
      <c r="K48" s="37">
        <f>SUM(K47:K47)</f>
        <v>114.34233999999999</v>
      </c>
      <c r="L48" s="50">
        <f>IFERROR(IF(AND(I48&gt;0,K48&gt;0),(K48/I48)^(1/2)-1,"n.a."),"n.a.")</f>
        <v>2.8535878504423851E-2</v>
      </c>
    </row>
    <row r="49" spans="2:12" ht="14.25" hidden="1" customHeight="1" outlineLevel="2">
      <c r="B49" s="31" t="s">
        <v>144</v>
      </c>
      <c r="C49" s="27" t="s">
        <v>240</v>
      </c>
      <c r="D49" s="27" t="s">
        <v>246</v>
      </c>
      <c r="E49" s="27" t="s">
        <v>246</v>
      </c>
      <c r="F49" s="27" t="s">
        <v>54</v>
      </c>
      <c r="H49" s="36" t="s">
        <v>247</v>
      </c>
      <c r="I49" s="29">
        <f>-SUMIFS(Balance_Générale!$C:$C,Balance_Générale!$G:$G,$C49,Balance_Générale!$H:$H,$D49,Balance_Générale!$I:$I,$E49,Balance_Générale!$J:$J,$F49)/1000</f>
        <v>-3.637893</v>
      </c>
      <c r="J49" s="29">
        <f>-SUMIFS(Balance_Générale!$D:$D,Balance_Générale!$G:$G,$C49,Balance_Générale!$H:$H,$D49,Balance_Générale!$I:$I,$E49,Balance_Générale!$J:$J,$F49)/1000</f>
        <v>0</v>
      </c>
      <c r="K49" s="29">
        <f>-SUMIFS(Balance_Générale!$E:$E,Balance_Générale!$G:$G,$C49,Balance_Générale!$H:$H,$D49,Balance_Générale!$I:$I,$E49,Balance_Générale!$J:$J,$F49)/1000</f>
        <v>0</v>
      </c>
      <c r="L49" s="30" t="str">
        <f>IFERROR(IF(OR(AND(I49&gt;0,K49&gt;0),AND(I49&lt;0,K49&lt;0)),(K49/I49)^(1/2)-1,"n.a."),"n.a.")</f>
        <v>n.a.</v>
      </c>
    </row>
    <row r="50" spans="2:12" ht="14.25" hidden="1" customHeight="1" outlineLevel="1" collapsed="1">
      <c r="B50" s="31" t="s">
        <v>248</v>
      </c>
      <c r="C50" s="31" t="s">
        <v>54</v>
      </c>
      <c r="D50" s="31" t="s">
        <v>54</v>
      </c>
      <c r="E50" s="31" t="s">
        <v>54</v>
      </c>
      <c r="F50" s="31" t="s">
        <v>54</v>
      </c>
      <c r="H50" t="s">
        <v>247</v>
      </c>
      <c r="I50" s="37">
        <f>SUM(I49:I49)</f>
        <v>-3.637893</v>
      </c>
      <c r="J50" s="37">
        <f>SUM(J49:J49)</f>
        <v>0</v>
      </c>
      <c r="K50" s="37">
        <f>SUM(K49:K49)</f>
        <v>0</v>
      </c>
      <c r="L50" s="50" t="str">
        <f>IFERROR(IF(AND(I50&gt;0,K50&gt;0),(K50/I50)^(1/2)-1,"n.a."),"n.a.")</f>
        <v>n.a.</v>
      </c>
    </row>
    <row r="51" spans="2:12" ht="14.25" hidden="1" customHeight="1" outlineLevel="1">
      <c r="B51" s="31" t="s">
        <v>128</v>
      </c>
      <c r="C51" s="31"/>
      <c r="D51" s="31"/>
      <c r="E51" s="31"/>
      <c r="F51" s="31"/>
      <c r="H51" s="55" t="s">
        <v>249</v>
      </c>
      <c r="I51" s="56">
        <f>SUMIFS(CR!$I:$I,CR!$B:$B,$B51)</f>
        <v>28.377630499999981</v>
      </c>
      <c r="J51" s="56">
        <f>SUMIFS(CR!$J:$J,CR!$B:$B,$B51)</f>
        <v>35.016916300000034</v>
      </c>
      <c r="K51" s="56">
        <f>SUMIFS(CR!$K:$K,CR!$B:$B,$B51)</f>
        <v>34.372155699999979</v>
      </c>
      <c r="L51" s="62">
        <f>IFERROR(IF(AND(I51&gt;0,K51&gt;0),(K51/I51)^(1/2)-1,"n.a."),"n.a.")</f>
        <v>0.10056404489496029</v>
      </c>
    </row>
    <row r="52" spans="2:12" ht="16.5" customHeight="1" collapsed="1">
      <c r="B52" s="31" t="s">
        <v>250</v>
      </c>
      <c r="C52" s="31"/>
      <c r="D52" s="31"/>
      <c r="E52" s="31"/>
      <c r="F52" s="31"/>
      <c r="H52" s="45" t="s">
        <v>240</v>
      </c>
      <c r="I52" s="46">
        <f>I48+I50+I51</f>
        <v>132.82542369999999</v>
      </c>
      <c r="J52" s="46">
        <f>J48+J50+J51</f>
        <v>146.44234000000003</v>
      </c>
      <c r="K52" s="46">
        <f>K48+K50+K51</f>
        <v>148.71449569999999</v>
      </c>
      <c r="L52" s="61">
        <f>IFERROR(IF(AND(I52&gt;0,K52&gt;0),(K52/I52)^(1/2)-1,"n.a."),"n.a.")</f>
        <v>5.8122736415054721E-2</v>
      </c>
    </row>
    <row r="53" spans="2:12" ht="14.25" customHeight="1"/>
    <row r="54" spans="2:12" ht="14.25" customHeight="1">
      <c r="H54" s="48" t="s">
        <v>130</v>
      </c>
      <c r="I54" s="49"/>
      <c r="J54" s="49"/>
      <c r="K54" s="49"/>
      <c r="L54" s="48" t="s">
        <v>131</v>
      </c>
    </row>
    <row r="55" spans="2:12" ht="14.25" customHeight="1">
      <c r="H55" t="s">
        <v>251</v>
      </c>
      <c r="I55" s="50" t="str">
        <f>IFERROR(CR!I51 /#REF! * 100,"")</f>
        <v/>
      </c>
      <c r="J55" s="50" t="str">
        <f>IFERROR(CR!J51 /#REF! * 100,"")</f>
        <v/>
      </c>
      <c r="K55" s="50" t="str">
        <f>IFERROR(CR!K51 /#REF! * 100,"")</f>
        <v/>
      </c>
      <c r="L55" s="51" t="str">
        <f>IFERROR(K55-I55,"n.a.")</f>
        <v>n.a.</v>
      </c>
    </row>
    <row r="56" spans="2:12" ht="14.25" customHeight="1">
      <c r="H56" t="s">
        <v>252</v>
      </c>
      <c r="I56" s="63">
        <f>IFERROR(ABS(I45) / CR!I47,"")</f>
        <v>1.198540771743245</v>
      </c>
      <c r="J56" s="63">
        <f>IFERROR(ABS(J45) / CR!J47,"")</f>
        <v>1.0385901618797622</v>
      </c>
      <c r="K56" s="63">
        <f>IFERROR(ABS(K45) / CR!K47,"")</f>
        <v>0.73259955868783544</v>
      </c>
      <c r="L56" s="64">
        <f>IFERROR(K56-I56,"n.a.")</f>
        <v>-0.46594121305540959</v>
      </c>
    </row>
    <row r="57" spans="2:12" ht="14.25" customHeight="1">
      <c r="H57" t="s">
        <v>253</v>
      </c>
      <c r="I57" s="63">
        <f>IFERROR((I17 + I19 + I40) / ABS(I21),"")</f>
        <v>3.3043600927243002</v>
      </c>
      <c r="J57" s="63">
        <f>IFERROR((J17 + J19 + J40) / ABS(J21),"")</f>
        <v>1.6531791561561771</v>
      </c>
      <c r="K57" s="63">
        <f>IFERROR((K17 + K19 + K40) / ABS(K21),"")</f>
        <v>1.7848231149141756</v>
      </c>
      <c r="L57" s="64">
        <f>IFERROR(K57-I57,"n.a.")</f>
        <v>-1.5195369778101246</v>
      </c>
    </row>
    <row r="59" spans="2:12" ht="14.25" customHeight="1">
      <c r="H59" s="48" t="s">
        <v>254</v>
      </c>
      <c r="I59" s="49"/>
      <c r="J59" s="49"/>
      <c r="K59" s="49"/>
      <c r="L59" s="49"/>
    </row>
    <row r="60" spans="2:12" ht="14.25" customHeight="1">
      <c r="H60" t="s">
        <v>255</v>
      </c>
      <c r="I60" s="37">
        <f>I46</f>
        <v>132.82542370000002</v>
      </c>
      <c r="J60" s="37">
        <f>J46</f>
        <v>146.44234</v>
      </c>
      <c r="K60" s="37">
        <f>K46</f>
        <v>148.71449569999987</v>
      </c>
    </row>
    <row r="61" spans="2:12" ht="14.25" customHeight="1">
      <c r="H61" t="s">
        <v>256</v>
      </c>
      <c r="I61" s="37">
        <f>I52</f>
        <v>132.82542369999999</v>
      </c>
      <c r="J61" s="37">
        <f>J52</f>
        <v>146.44234000000003</v>
      </c>
      <c r="K61" s="37">
        <f>K52</f>
        <v>148.71449569999999</v>
      </c>
    </row>
    <row r="62" spans="2:12" ht="14.25" customHeight="1">
      <c r="H62" s="52" t="s">
        <v>257</v>
      </c>
      <c r="I62" s="53">
        <f>I60-I61</f>
        <v>0</v>
      </c>
      <c r="J62" s="53">
        <f>J60-J61</f>
        <v>0</v>
      </c>
      <c r="K62" s="53">
        <f>K60-K61</f>
        <v>0</v>
      </c>
    </row>
    <row r="65" spans="8:8" ht="19.5" customHeight="1">
      <c r="H65" s="97" t="s">
        <v>140</v>
      </c>
    </row>
  </sheetData>
  <autoFilter ref="B5:F52" xr:uid="{00000000-0009-0000-0000-000003000000}"/>
  <conditionalFormatting sqref="I62:K62">
    <cfRule type="cellIs" dxfId="17" priority="4" operator="equal">
      <formula>0</formula>
    </cfRule>
    <cfRule type="cellIs" dxfId="16" priority="5" operator="notEqual">
      <formula>0</formula>
    </cfRule>
  </conditionalFormatting>
  <conditionalFormatting sqref="L55:L57">
    <cfRule type="cellIs" dxfId="15" priority="2" operator="greaterThan">
      <formula>0</formula>
    </cfRule>
    <cfRule type="cellIs" dxfId="14" priority="3" operator="lessThan">
      <formula>0</formula>
    </cfRule>
  </conditionalFormatting>
  <hyperlinks>
    <hyperlink ref="H65" r:id="rId1" tooltip="Ouvrir aletheia-insight.com" xr:uid="{2369CE70-AF1E-4332-9867-28AEAFF41DC6}"/>
  </hyperlinks>
  <pageMargins left="0.75" right="0.75" top="1" bottom="1"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A9D8F"/>
  </sheetPr>
  <dimension ref="A1:K39"/>
  <sheetViews>
    <sheetView showGridLines="0" zoomScaleNormal="100" workbookViewId="0">
      <pane xSplit="8" ySplit="5" topLeftCell="I6" activePane="bottomRight" state="frozen"/>
      <selection pane="topRight" activeCell="I1" sqref="I1"/>
      <selection pane="bottomLeft" activeCell="A10" sqref="A10"/>
      <selection pane="bottomRight"/>
    </sheetView>
  </sheetViews>
  <sheetFormatPr defaultColWidth="8.7109375" defaultRowHeight="15" outlineLevelCol="1"/>
  <cols>
    <col min="2" max="2" width="20" hidden="1" customWidth="1" outlineLevel="1"/>
    <col min="3" max="6" width="16" hidden="1" customWidth="1" outlineLevel="1"/>
    <col min="7" max="7" width="0.85546875" customWidth="1" collapsed="1"/>
    <col min="8" max="8" width="40" customWidth="1"/>
    <col min="9" max="10" width="16" customWidth="1"/>
    <col min="11" max="11" width="12" customWidth="1"/>
  </cols>
  <sheetData>
    <row r="1" spans="1:11" ht="21.75" customHeight="1">
      <c r="A1" s="21" t="s">
        <v>2</v>
      </c>
    </row>
    <row r="2" spans="1:11" ht="15.75" customHeight="1">
      <c r="A2" s="22" t="s">
        <v>258</v>
      </c>
    </row>
    <row r="3" spans="1:11" ht="7.5" customHeight="1"/>
    <row r="4" spans="1:11" ht="14.25" customHeight="1">
      <c r="H4" s="23" t="s">
        <v>259</v>
      </c>
    </row>
    <row r="5" spans="1:11" ht="14.25" customHeight="1">
      <c r="B5" s="24" t="s">
        <v>143</v>
      </c>
      <c r="C5" s="24" t="s">
        <v>39</v>
      </c>
      <c r="D5" s="24" t="s">
        <v>40</v>
      </c>
      <c r="E5" s="24" t="s">
        <v>41</v>
      </c>
      <c r="F5" s="24" t="s">
        <v>42</v>
      </c>
      <c r="H5" s="25" t="s">
        <v>43</v>
      </c>
      <c r="I5" s="26" t="s">
        <v>45</v>
      </c>
      <c r="J5" s="26" t="s">
        <v>46</v>
      </c>
      <c r="K5" s="26" t="s">
        <v>47</v>
      </c>
    </row>
    <row r="6" spans="1:11" ht="14.25" customHeight="1">
      <c r="B6" s="31" t="s">
        <v>128</v>
      </c>
      <c r="C6" s="31"/>
      <c r="D6" s="31"/>
      <c r="E6" s="31"/>
      <c r="F6" s="31"/>
      <c r="H6" s="55" t="s">
        <v>260</v>
      </c>
      <c r="I6" s="56">
        <f>SUMIFS(CR!$J:$J,CR!$B:$B,$B6)</f>
        <v>35.016916300000034</v>
      </c>
      <c r="J6" s="56">
        <f>SUMIFS(CR!$K:$K,CR!$B:$B,$B6)</f>
        <v>34.372155699999979</v>
      </c>
      <c r="K6" s="62">
        <f t="shared" ref="K6:K24" si="0">IFERROR(IF(AND(I6&gt;0,J6&gt;0),(J6/I6)^(1/1)-1,"n.a."),"n.a.")</f>
        <v>-1.8412832085961117E-2</v>
      </c>
    </row>
    <row r="7" spans="1:11" ht="14.25" customHeight="1">
      <c r="B7" s="31" t="s">
        <v>171</v>
      </c>
      <c r="C7" s="31" t="s">
        <v>54</v>
      </c>
      <c r="D7" s="31" t="s">
        <v>54</v>
      </c>
      <c r="E7" s="31" t="s">
        <v>54</v>
      </c>
      <c r="F7" s="31" t="s">
        <v>54</v>
      </c>
      <c r="H7" t="s">
        <v>261</v>
      </c>
      <c r="I7" s="37">
        <f>-(SUMIFS(Bilan!$J:$J,Bilan!$B:$B,$B7)-SUMIFS(Bilan!$I:$I,Bilan!$B:$B,$B7))</f>
        <v>4.4337803999999998</v>
      </c>
      <c r="J7" s="37">
        <f>-(SUMIFS(Bilan!$K:$K,Bilan!$B:$B,$B7)-SUMIFS(Bilan!$J:$J,Bilan!$B:$B,$B7))</f>
        <v>-4.3419958000000003</v>
      </c>
      <c r="K7" s="50" t="str">
        <f t="shared" si="0"/>
        <v>n.a.</v>
      </c>
    </row>
    <row r="8" spans="1:11" ht="14.25" customHeight="1">
      <c r="B8" s="31" t="s">
        <v>176</v>
      </c>
      <c r="C8" s="31" t="s">
        <v>54</v>
      </c>
      <c r="D8" s="31" t="s">
        <v>54</v>
      </c>
      <c r="E8" s="31" t="s">
        <v>54</v>
      </c>
      <c r="F8" s="31" t="s">
        <v>54</v>
      </c>
      <c r="H8" s="55" t="s">
        <v>262</v>
      </c>
      <c r="I8" s="56">
        <f>-(SUMIFS(Bilan!$J:$J,Bilan!$B:$B,$B8)-SUMIFS(Bilan!$I:$I,Bilan!$B:$B,$B8))</f>
        <v>-17.239775799999993</v>
      </c>
      <c r="J8" s="56">
        <f>-(SUMIFS(Bilan!$K:$K,Bilan!$B:$B,$B8)-SUMIFS(Bilan!$J:$J,Bilan!$B:$B,$B8))</f>
        <v>-1.2605884000000032</v>
      </c>
      <c r="K8" s="62" t="str">
        <f t="shared" si="0"/>
        <v>n.a.</v>
      </c>
    </row>
    <row r="9" spans="1:11" ht="14.25" customHeight="1">
      <c r="B9" s="31" t="s">
        <v>182</v>
      </c>
      <c r="C9" s="31" t="s">
        <v>54</v>
      </c>
      <c r="D9" s="31" t="s">
        <v>54</v>
      </c>
      <c r="E9" s="31" t="s">
        <v>54</v>
      </c>
      <c r="F9" s="31" t="s">
        <v>54</v>
      </c>
      <c r="H9" t="s">
        <v>263</v>
      </c>
      <c r="I9" s="37">
        <f>-(SUMIFS(Bilan!$J:$J,Bilan!$B:$B,$B9)-SUMIFS(Bilan!$I:$I,Bilan!$B:$B,$B9))</f>
        <v>60.083966799999985</v>
      </c>
      <c r="J9" s="37">
        <f>-(SUMIFS(Bilan!$K:$K,Bilan!$B:$B,$B9)-SUMIFS(Bilan!$J:$J,Bilan!$B:$B,$B9))</f>
        <v>-32.359175399999984</v>
      </c>
      <c r="K9" s="50" t="str">
        <f t="shared" si="0"/>
        <v>n.a.</v>
      </c>
    </row>
    <row r="10" spans="1:11" ht="14.25" customHeight="1">
      <c r="B10" s="31" t="s">
        <v>264</v>
      </c>
      <c r="C10" s="31"/>
      <c r="D10" s="31"/>
      <c r="E10" s="31"/>
      <c r="F10" s="31"/>
      <c r="H10" s="32" t="s">
        <v>265</v>
      </c>
      <c r="I10" s="33">
        <f>SUM(I7:I9)</f>
        <v>47.277971399999991</v>
      </c>
      <c r="J10" s="33">
        <f>SUM(J7:J9)</f>
        <v>-37.961759599999986</v>
      </c>
      <c r="K10" s="54" t="str">
        <f t="shared" si="0"/>
        <v>n.a.</v>
      </c>
    </row>
    <row r="11" spans="1:11" ht="14.25" customHeight="1">
      <c r="B11" s="31" t="s">
        <v>215</v>
      </c>
      <c r="C11" s="31"/>
      <c r="D11" s="31"/>
      <c r="E11" s="31"/>
      <c r="F11" s="31"/>
      <c r="H11" s="57" t="s">
        <v>266</v>
      </c>
      <c r="I11" s="58">
        <f>-(SUMIFS(Bilan!$J:$J,Bilan!$B:$B,$B11)-SUMIFS(Bilan!$I:$I,Bilan!$B:$B,$B11))</f>
        <v>-4.333382300000002</v>
      </c>
      <c r="J11" s="58">
        <f>-(SUMIFS(Bilan!$K:$K,Bilan!$B:$B,$B11)-SUMIFS(Bilan!$J:$J,Bilan!$B:$B,$B11))</f>
        <v>-1.1442900999998513</v>
      </c>
      <c r="K11" s="59" t="str">
        <f t="shared" si="0"/>
        <v>n.a.</v>
      </c>
    </row>
    <row r="12" spans="1:11" ht="14.25" customHeight="1">
      <c r="B12" s="31" t="s">
        <v>267</v>
      </c>
      <c r="C12" s="31"/>
      <c r="D12" s="31"/>
      <c r="E12" s="31"/>
      <c r="F12" s="31"/>
      <c r="H12" s="43" t="s">
        <v>268</v>
      </c>
      <c r="I12" s="44">
        <f>I6+I10+I11</f>
        <v>77.961505400000036</v>
      </c>
      <c r="J12" s="44">
        <f>J6+J10+J11</f>
        <v>-4.733893999999859</v>
      </c>
      <c r="K12" s="60" t="str">
        <f t="shared" si="0"/>
        <v>n.a.</v>
      </c>
    </row>
    <row r="13" spans="1:11" ht="14.25" customHeight="1">
      <c r="B13" s="31" t="s">
        <v>151</v>
      </c>
      <c r="C13" s="31" t="s">
        <v>54</v>
      </c>
      <c r="D13" s="31" t="s">
        <v>54</v>
      </c>
      <c r="E13" s="31" t="s">
        <v>54</v>
      </c>
      <c r="F13" s="31" t="s">
        <v>54</v>
      </c>
      <c r="H13" s="55" t="s">
        <v>269</v>
      </c>
      <c r="I13" s="56">
        <f>-(SUMIFS(Bilan!$J:$J,Bilan!$B:$B,$B13)-SUMIFS(Bilan!$I:$I,Bilan!$B:$B,$B13))</f>
        <v>-31.345136400000001</v>
      </c>
      <c r="J13" s="56">
        <f>-(SUMIFS(Bilan!$K:$K,Bilan!$B:$B,$B13)-SUMIFS(Bilan!$J:$J,Bilan!$B:$B,$B13))</f>
        <v>19.005778699999979</v>
      </c>
      <c r="K13" s="62" t="str">
        <f t="shared" si="0"/>
        <v>n.a.</v>
      </c>
    </row>
    <row r="14" spans="1:11" ht="14.25" customHeight="1">
      <c r="B14" s="31" t="s">
        <v>156</v>
      </c>
      <c r="C14" s="31" t="s">
        <v>54</v>
      </c>
      <c r="D14" s="31" t="s">
        <v>54</v>
      </c>
      <c r="E14" s="31" t="s">
        <v>54</v>
      </c>
      <c r="F14" s="31" t="s">
        <v>54</v>
      </c>
      <c r="H14" t="s">
        <v>270</v>
      </c>
      <c r="I14" s="37">
        <f>-(SUMIFS(Bilan!$J:$J,Bilan!$B:$B,$B14)-SUMIFS(Bilan!$I:$I,Bilan!$B:$B,$B14))</f>
        <v>-1.2147282000000001</v>
      </c>
      <c r="J14" s="37">
        <f>-(SUMIFS(Bilan!$K:$K,Bilan!$B:$B,$B14)-SUMIFS(Bilan!$J:$J,Bilan!$B:$B,$B14))</f>
        <v>-0.84005699999999939</v>
      </c>
      <c r="K14" s="50" t="str">
        <f t="shared" si="0"/>
        <v>n.a.</v>
      </c>
    </row>
    <row r="15" spans="1:11" ht="14.25" customHeight="1">
      <c r="B15" s="31" t="s">
        <v>163</v>
      </c>
      <c r="C15" s="31" t="s">
        <v>54</v>
      </c>
      <c r="D15" s="31" t="s">
        <v>54</v>
      </c>
      <c r="E15" s="31" t="s">
        <v>54</v>
      </c>
      <c r="F15" s="31" t="s">
        <v>54</v>
      </c>
      <c r="H15" s="55" t="s">
        <v>271</v>
      </c>
      <c r="I15" s="56">
        <f>-(SUMIFS(Bilan!$J:$J,Bilan!$B:$B,$B15)-SUMIFS(Bilan!$I:$I,Bilan!$B:$B,$B15))</f>
        <v>0</v>
      </c>
      <c r="J15" s="56">
        <f>-(SUMIFS(Bilan!$K:$K,Bilan!$B:$B,$B15)-SUMIFS(Bilan!$J:$J,Bilan!$B:$B,$B15))</f>
        <v>-2.5808400000000002</v>
      </c>
      <c r="K15" s="62" t="str">
        <f t="shared" si="0"/>
        <v>n.a.</v>
      </c>
    </row>
    <row r="16" spans="1:11" ht="14.25" customHeight="1">
      <c r="B16" s="31" t="s">
        <v>272</v>
      </c>
      <c r="C16" s="31"/>
      <c r="D16" s="31"/>
      <c r="E16" s="31"/>
      <c r="F16" s="31"/>
      <c r="H16" s="43" t="s">
        <v>273</v>
      </c>
      <c r="I16" s="44">
        <f>SUM(I13:I15)</f>
        <v>-32.559864600000004</v>
      </c>
      <c r="J16" s="44">
        <f>SUM(J13:J15)</f>
        <v>15.584881699999981</v>
      </c>
      <c r="K16" s="60" t="str">
        <f t="shared" si="0"/>
        <v>n.a.</v>
      </c>
    </row>
    <row r="17" spans="2:11" ht="14.25" customHeight="1">
      <c r="B17" s="31" t="s">
        <v>229</v>
      </c>
      <c r="C17" s="31" t="s">
        <v>54</v>
      </c>
      <c r="D17" s="31" t="s">
        <v>54</v>
      </c>
      <c r="E17" s="31" t="s">
        <v>54</v>
      </c>
      <c r="F17" s="31" t="s">
        <v>54</v>
      </c>
      <c r="H17" s="55" t="s">
        <v>274</v>
      </c>
      <c r="I17" s="56">
        <f>-(SUMIFS(Bilan!$J:$J,Bilan!$B:$B,$B17)-SUMIFS(Bilan!$I:$I,Bilan!$B:$B,$B17))</f>
        <v>-12.436288999999999</v>
      </c>
      <c r="J17" s="56">
        <f>-(SUMIFS(Bilan!$K:$K,Bilan!$B:$B,$B17)-SUMIFS(Bilan!$J:$J,Bilan!$B:$B,$B17))</f>
        <v>-12.548692500000001</v>
      </c>
      <c r="K17" s="62" t="str">
        <f t="shared" si="0"/>
        <v>n.a.</v>
      </c>
    </row>
    <row r="18" spans="2:11" ht="14.25" customHeight="1">
      <c r="B18" s="31" t="s">
        <v>234</v>
      </c>
      <c r="C18" s="31" t="s">
        <v>178</v>
      </c>
      <c r="D18" s="31" t="s">
        <v>54</v>
      </c>
      <c r="E18" s="31" t="s">
        <v>54</v>
      </c>
      <c r="F18" s="31" t="s">
        <v>54</v>
      </c>
      <c r="H18" t="s">
        <v>275</v>
      </c>
      <c r="I18" s="37">
        <f>-(SUMIFS(Bilan!$J:$J,Bilan!$B:$B,$B18)-SUMIFS(Bilan!$I:$I,Bilan!$B:$B,$B18))</f>
        <v>0</v>
      </c>
      <c r="J18" s="37">
        <f>-(SUMIFS(Bilan!$K:$K,Bilan!$B:$B,$B18)-SUMIFS(Bilan!$J:$J,Bilan!$B:$B,$B18))</f>
        <v>-15.674387199999998</v>
      </c>
      <c r="K18" s="50" t="str">
        <f t="shared" si="0"/>
        <v>n.a.</v>
      </c>
    </row>
    <row r="19" spans="2:11" ht="14.25" customHeight="1">
      <c r="B19" s="31" t="s">
        <v>250</v>
      </c>
      <c r="C19" s="31"/>
      <c r="D19" s="31"/>
      <c r="E19" s="31"/>
      <c r="F19" s="31"/>
      <c r="H19" s="55" t="s">
        <v>276</v>
      </c>
      <c r="I19" s="56">
        <f>SUMIFS(Bilan!$J:$J,Bilan!$B:$B,$B19)-SUMIFS(Bilan!$I:$I,Bilan!$B:$B,$B19)</f>
        <v>13.616916300000042</v>
      </c>
      <c r="J19" s="56">
        <f>SUMIFS(Bilan!$K:$K,Bilan!$B:$B,$B19)-SUMIFS(Bilan!$J:$J,Bilan!$B:$B,$B19)</f>
        <v>2.2721556999999564</v>
      </c>
      <c r="K19" s="62">
        <f t="shared" si="0"/>
        <v>-0.83313727940003934</v>
      </c>
    </row>
    <row r="20" spans="2:11" ht="14.25" customHeight="1">
      <c r="B20" s="31" t="s">
        <v>277</v>
      </c>
      <c r="C20" s="31"/>
      <c r="D20" s="31"/>
      <c r="E20" s="31"/>
      <c r="F20" s="31"/>
      <c r="H20" t="s">
        <v>278</v>
      </c>
      <c r="I20" s="37">
        <f>I19 - I6</f>
        <v>-21.399999999999991</v>
      </c>
      <c r="J20" s="37">
        <f>J19 - J6</f>
        <v>-32.100000000000023</v>
      </c>
      <c r="K20" s="50" t="str">
        <f t="shared" si="0"/>
        <v>n.a.</v>
      </c>
    </row>
    <row r="21" spans="2:11" ht="14.25" customHeight="1">
      <c r="B21" s="31" t="s">
        <v>279</v>
      </c>
      <c r="C21" s="31"/>
      <c r="D21" s="31"/>
      <c r="E21" s="31"/>
      <c r="F21" s="31"/>
      <c r="H21" s="43" t="s">
        <v>280</v>
      </c>
      <c r="I21" s="44">
        <f>I17+I18+I20</f>
        <v>-33.836288999999994</v>
      </c>
      <c r="J21" s="44">
        <f>J17+J18+J20</f>
        <v>-60.323079700000022</v>
      </c>
      <c r="K21" s="60" t="str">
        <f t="shared" si="0"/>
        <v>n.a.</v>
      </c>
    </row>
    <row r="22" spans="2:11" ht="15.75" customHeight="1">
      <c r="B22" s="31" t="s">
        <v>281</v>
      </c>
      <c r="C22" s="31"/>
      <c r="D22" s="31"/>
      <c r="E22" s="31"/>
      <c r="F22" s="31"/>
      <c r="H22" s="45" t="s">
        <v>282</v>
      </c>
      <c r="I22" s="46">
        <f>I12+I16+I21</f>
        <v>11.565351800000037</v>
      </c>
      <c r="J22" s="46">
        <f>J12+J16+J21</f>
        <v>-49.472091999999904</v>
      </c>
      <c r="K22" s="61" t="str">
        <f t="shared" si="0"/>
        <v>n.a.</v>
      </c>
    </row>
    <row r="23" spans="2:11" ht="14.25" customHeight="1">
      <c r="B23" s="31" t="s">
        <v>223</v>
      </c>
      <c r="C23" s="31" t="s">
        <v>54</v>
      </c>
      <c r="D23" s="31" t="s">
        <v>54</v>
      </c>
      <c r="E23" s="31" t="s">
        <v>54</v>
      </c>
      <c r="F23" s="31" t="s">
        <v>54</v>
      </c>
      <c r="H23" s="55" t="s">
        <v>283</v>
      </c>
      <c r="I23" s="56">
        <f>SUMIFS(Bilan!$I:$I,Bilan!$B:$B,$B23)</f>
        <v>115.1849543</v>
      </c>
      <c r="J23" s="56">
        <f>SUMIFS(Bilan!$J:$J,Bilan!$B:$B,$B23)</f>
        <v>126.75030609999999</v>
      </c>
      <c r="K23" s="62">
        <f t="shared" si="0"/>
        <v>0.10040679245205886</v>
      </c>
    </row>
    <row r="24" spans="2:11" ht="14.25" customHeight="1">
      <c r="B24" s="31" t="s">
        <v>284</v>
      </c>
      <c r="C24" s="31"/>
      <c r="D24" s="31"/>
      <c r="E24" s="31"/>
      <c r="F24" s="31"/>
      <c r="H24" s="32" t="s">
        <v>285</v>
      </c>
      <c r="I24" s="33">
        <f>I23 + I22</f>
        <v>126.75030610000005</v>
      </c>
      <c r="J24" s="33">
        <f>J23 + J22</f>
        <v>77.278214100000085</v>
      </c>
      <c r="K24" s="54">
        <f t="shared" si="0"/>
        <v>-0.39031142032090083</v>
      </c>
    </row>
    <row r="26" spans="2:11" ht="14.25" customHeight="1">
      <c r="H26" s="48" t="s">
        <v>130</v>
      </c>
      <c r="I26" s="49"/>
      <c r="J26" s="49"/>
      <c r="K26" s="48" t="s">
        <v>131</v>
      </c>
    </row>
    <row r="27" spans="2:11" ht="14.25" customHeight="1">
      <c r="H27" t="s">
        <v>286</v>
      </c>
      <c r="I27" s="37">
        <f>IFERROR(I12 + I16,"")</f>
        <v>45.401640800000031</v>
      </c>
      <c r="J27" s="37">
        <f>IFERROR(J12 + J16,"")</f>
        <v>10.850987700000122</v>
      </c>
      <c r="K27" s="37">
        <f>IFERROR(J27-I27,"n.a.")</f>
        <v>-34.550653099999906</v>
      </c>
    </row>
    <row r="28" spans="2:11" ht="14.25" customHeight="1">
      <c r="H28" t="s">
        <v>287</v>
      </c>
      <c r="I28" s="50">
        <f>IFERROR(I12 / I6 * 100,"")</f>
        <v>222.63955150156943</v>
      </c>
      <c r="J28" s="50">
        <f>IFERROR(J12 / J6 * 100,"")</f>
        <v>-13.772467579040617</v>
      </c>
      <c r="K28" s="51">
        <f>IFERROR(J28-I28,"n.a.")</f>
        <v>-236.41201908061004</v>
      </c>
    </row>
    <row r="30" spans="2:11" ht="14.25" customHeight="1">
      <c r="H30" s="48" t="s">
        <v>254</v>
      </c>
      <c r="I30" s="49"/>
      <c r="J30" s="49"/>
      <c r="K30" s="49"/>
    </row>
    <row r="31" spans="2:11" ht="14.25" customHeight="1">
      <c r="H31" t="s">
        <v>288</v>
      </c>
      <c r="I31" s="37">
        <f>I23</f>
        <v>115.1849543</v>
      </c>
      <c r="J31" s="37">
        <f>J23</f>
        <v>126.75030609999999</v>
      </c>
    </row>
    <row r="32" spans="2:11" ht="14.25" customHeight="1">
      <c r="H32" t="s">
        <v>289</v>
      </c>
      <c r="I32" s="37">
        <f>Bilan!I40</f>
        <v>115.1849543</v>
      </c>
      <c r="J32" s="37">
        <f>Bilan!J40</f>
        <v>126.75030609999999</v>
      </c>
    </row>
    <row r="33" spans="8:10" ht="14.25" customHeight="1">
      <c r="H33" s="52" t="s">
        <v>290</v>
      </c>
      <c r="I33" s="53">
        <f>I31-I32</f>
        <v>0</v>
      </c>
      <c r="J33" s="53">
        <f>J31-J32</f>
        <v>0</v>
      </c>
    </row>
    <row r="34" spans="8:10" ht="14.25" customHeight="1">
      <c r="H34" t="s">
        <v>291</v>
      </c>
      <c r="I34" s="37">
        <f>I24</f>
        <v>126.75030610000005</v>
      </c>
      <c r="J34" s="37">
        <f>J24</f>
        <v>77.278214100000085</v>
      </c>
    </row>
    <row r="35" spans="8:10" ht="14.25" customHeight="1">
      <c r="H35" t="s">
        <v>292</v>
      </c>
      <c r="I35" s="37">
        <f>Bilan!J40</f>
        <v>126.75030609999999</v>
      </c>
      <c r="J35" s="37">
        <f>Bilan!K40</f>
        <v>77.2782141</v>
      </c>
    </row>
    <row r="36" spans="8:10" ht="14.25" customHeight="1">
      <c r="H36" s="52" t="s">
        <v>293</v>
      </c>
      <c r="I36" s="53">
        <f>ROUND(I34-I35,9)</f>
        <v>0</v>
      </c>
      <c r="J36" s="53">
        <f>ROUND(J34-J35,9)</f>
        <v>0</v>
      </c>
    </row>
    <row r="39" spans="8:10" ht="19.5" customHeight="1">
      <c r="H39" s="97" t="s">
        <v>140</v>
      </c>
    </row>
  </sheetData>
  <conditionalFormatting sqref="I33:J33">
    <cfRule type="cellIs" dxfId="13" priority="4" operator="equal">
      <formula>0</formula>
    </cfRule>
    <cfRule type="cellIs" dxfId="12" priority="5" operator="notEqual">
      <formula>0</formula>
    </cfRule>
  </conditionalFormatting>
  <conditionalFormatting sqref="I36:J36">
    <cfRule type="cellIs" dxfId="11" priority="6" operator="equal">
      <formula>0</formula>
    </cfRule>
    <cfRule type="cellIs" dxfId="10" priority="7" operator="notEqual">
      <formula>0</formula>
    </cfRule>
  </conditionalFormatting>
  <conditionalFormatting sqref="K28">
    <cfRule type="cellIs" dxfId="9" priority="2" operator="greaterThan">
      <formula>0</formula>
    </cfRule>
    <cfRule type="cellIs" dxfId="8" priority="3" operator="lessThan">
      <formula>0</formula>
    </cfRule>
  </conditionalFormatting>
  <hyperlinks>
    <hyperlink ref="H39" r:id="rId1" tooltip="Ouvrir aletheia-insight.com" xr:uid="{C958181E-0FFF-4DE3-9587-6FAB32365BAC}"/>
  </hyperlinks>
  <pageMargins left="0.75" right="0.75" top="1" bottom="1" header="0.511811023622047" footer="0.511811023622047"/>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A9D8F"/>
  </sheetPr>
  <dimension ref="A1:O14"/>
  <sheetViews>
    <sheetView showGridLines="0" zoomScaleNormal="100" workbookViewId="0">
      <pane xSplit="9" ySplit="4" topLeftCell="L5" activePane="bottomRight" state="frozen"/>
      <selection pane="topRight" activeCell="L1" sqref="L1"/>
      <selection pane="bottomLeft" activeCell="A5" sqref="A5"/>
      <selection pane="bottomRight"/>
    </sheetView>
  </sheetViews>
  <sheetFormatPr defaultColWidth="8.7109375" defaultRowHeight="15"/>
  <cols>
    <col min="1" max="1" width="35.5703125" customWidth="1"/>
    <col min="2" max="2" width="12.5703125" customWidth="1"/>
    <col min="3" max="4" width="13" customWidth="1"/>
    <col min="5" max="5" width="5.7109375" customWidth="1"/>
    <col min="6" max="6" width="14.42578125" customWidth="1"/>
    <col min="7" max="7" width="25.28515625" customWidth="1"/>
    <col min="8" max="8" width="12.85546875" customWidth="1"/>
    <col min="9" max="9" width="15" customWidth="1"/>
    <col min="10" max="10" width="10" customWidth="1"/>
    <col min="11" max="11" width="14.140625" customWidth="1"/>
    <col min="12" max="12" width="10" customWidth="1"/>
    <col min="13" max="13" width="14.140625" customWidth="1"/>
    <col min="14" max="14" width="10" customWidth="1"/>
    <col min="15" max="15" width="14.140625" customWidth="1"/>
  </cols>
  <sheetData>
    <row r="1" spans="1:15" ht="21.75" customHeight="1">
      <c r="A1" s="21" t="s">
        <v>2</v>
      </c>
    </row>
    <row r="2" spans="1:15" ht="15.75" customHeight="1">
      <c r="A2" s="22" t="s">
        <v>294</v>
      </c>
      <c r="K2" s="65"/>
      <c r="M2" s="65"/>
      <c r="O2" s="65"/>
    </row>
    <row r="3" spans="1:15" ht="7.5" customHeight="1"/>
    <row r="4" spans="1:15" ht="14.25" customHeight="1">
      <c r="A4" s="25" t="s">
        <v>295</v>
      </c>
      <c r="B4" s="25" t="s">
        <v>296</v>
      </c>
      <c r="C4" s="25" t="s">
        <v>297</v>
      </c>
      <c r="D4" s="25" t="s">
        <v>298</v>
      </c>
      <c r="E4" s="25" t="s">
        <v>299</v>
      </c>
      <c r="F4" s="25" t="s">
        <v>300</v>
      </c>
      <c r="G4" s="25" t="s">
        <v>301</v>
      </c>
      <c r="H4" s="25" t="s">
        <v>302</v>
      </c>
      <c r="I4" s="25" t="s">
        <v>303</v>
      </c>
      <c r="J4" s="26" t="s">
        <v>304</v>
      </c>
      <c r="K4" s="26" t="s">
        <v>305</v>
      </c>
      <c r="L4" s="26" t="s">
        <v>306</v>
      </c>
      <c r="M4" s="26" t="s">
        <v>307</v>
      </c>
      <c r="N4" s="26" t="s">
        <v>308</v>
      </c>
      <c r="O4" s="26" t="s">
        <v>309</v>
      </c>
    </row>
    <row r="5" spans="1:15" ht="14.25" customHeight="1">
      <c r="A5" t="s">
        <v>310</v>
      </c>
      <c r="B5" t="s">
        <v>311</v>
      </c>
      <c r="C5" s="66" t="s">
        <v>312</v>
      </c>
      <c r="D5" s="67" t="s">
        <v>313</v>
      </c>
      <c r="E5" s="68">
        <v>1</v>
      </c>
      <c r="F5" t="s">
        <v>314</v>
      </c>
      <c r="G5" t="s">
        <v>314</v>
      </c>
      <c r="H5" t="s">
        <v>315</v>
      </c>
      <c r="I5" t="s">
        <v>81</v>
      </c>
      <c r="J5" s="37">
        <v>30495</v>
      </c>
      <c r="K5" s="37">
        <v>35775.863980656897</v>
      </c>
      <c r="L5" s="37">
        <v>19474</v>
      </c>
      <c r="M5" s="37">
        <v>22793.0906489796</v>
      </c>
      <c r="N5" s="37">
        <v>22684</v>
      </c>
      <c r="O5" s="37">
        <v>27302.360925534998</v>
      </c>
    </row>
    <row r="6" spans="1:15" ht="14.25" customHeight="1">
      <c r="A6" t="s">
        <v>316</v>
      </c>
      <c r="B6" t="s">
        <v>311</v>
      </c>
      <c r="C6" s="66" t="s">
        <v>317</v>
      </c>
      <c r="D6" s="67" t="s">
        <v>313</v>
      </c>
      <c r="E6" s="68">
        <v>1</v>
      </c>
      <c r="F6" t="s">
        <v>318</v>
      </c>
      <c r="G6" t="s">
        <v>319</v>
      </c>
      <c r="H6" t="s">
        <v>315</v>
      </c>
      <c r="I6" t="s">
        <v>320</v>
      </c>
      <c r="J6" s="37">
        <v>16906</v>
      </c>
      <c r="K6" s="37">
        <v>19918.1574002737</v>
      </c>
      <c r="L6" s="37">
        <v>9095</v>
      </c>
      <c r="M6" s="37">
        <v>10739.052325000001</v>
      </c>
      <c r="N6" s="37">
        <v>14338</v>
      </c>
      <c r="O6" s="37">
        <v>17231.8179611983</v>
      </c>
    </row>
    <row r="7" spans="1:15" ht="14.25" customHeight="1">
      <c r="A7" t="s">
        <v>321</v>
      </c>
      <c r="B7" t="s">
        <v>311</v>
      </c>
      <c r="C7" s="66" t="s">
        <v>322</v>
      </c>
      <c r="D7" s="66" t="s">
        <v>323</v>
      </c>
      <c r="E7" s="68">
        <v>0.8</v>
      </c>
      <c r="F7" t="s">
        <v>324</v>
      </c>
      <c r="G7" t="s">
        <v>324</v>
      </c>
      <c r="H7" t="s">
        <v>325</v>
      </c>
      <c r="I7" t="s">
        <v>81</v>
      </c>
      <c r="J7" s="37">
        <v>3745</v>
      </c>
      <c r="K7" s="37">
        <v>4444.5475190693396</v>
      </c>
      <c r="L7" s="37">
        <v>5992</v>
      </c>
      <c r="M7" s="37">
        <v>7068.0497445153096</v>
      </c>
      <c r="N7">
        <v>0</v>
      </c>
      <c r="O7">
        <v>0</v>
      </c>
    </row>
    <row r="8" spans="1:15" ht="14.25" customHeight="1">
      <c r="A8" t="s">
        <v>326</v>
      </c>
      <c r="B8" t="s">
        <v>311</v>
      </c>
      <c r="C8" s="66" t="s">
        <v>327</v>
      </c>
      <c r="D8" s="67" t="s">
        <v>313</v>
      </c>
      <c r="E8" s="68">
        <v>1</v>
      </c>
      <c r="F8" t="s">
        <v>328</v>
      </c>
      <c r="G8" t="s">
        <v>329</v>
      </c>
      <c r="H8" t="s">
        <v>325</v>
      </c>
      <c r="I8" t="s">
        <v>330</v>
      </c>
      <c r="J8">
        <v>0</v>
      </c>
      <c r="K8">
        <v>0</v>
      </c>
      <c r="L8" s="37">
        <v>1979.5</v>
      </c>
      <c r="M8" s="37">
        <v>2356.01658150511</v>
      </c>
      <c r="N8" s="37">
        <v>7704</v>
      </c>
      <c r="O8" s="37">
        <v>9095.3198262755195</v>
      </c>
    </row>
    <row r="9" spans="1:15" ht="14.25" customHeight="1">
      <c r="A9" t="s">
        <v>331</v>
      </c>
      <c r="B9" t="s">
        <v>311</v>
      </c>
      <c r="C9" s="66" t="s">
        <v>332</v>
      </c>
      <c r="D9" s="67" t="s">
        <v>313</v>
      </c>
      <c r="E9" s="68">
        <v>1</v>
      </c>
      <c r="F9" t="s">
        <v>333</v>
      </c>
      <c r="G9" t="s">
        <v>333</v>
      </c>
      <c r="H9" t="s">
        <v>315</v>
      </c>
      <c r="I9" t="s">
        <v>333</v>
      </c>
      <c r="J9">
        <v>0</v>
      </c>
      <c r="K9">
        <v>0</v>
      </c>
      <c r="L9">
        <v>0</v>
      </c>
      <c r="M9">
        <v>0</v>
      </c>
      <c r="N9" s="37">
        <v>11128</v>
      </c>
      <c r="O9" s="37">
        <v>13095.068906505199</v>
      </c>
    </row>
    <row r="10" spans="1:15" ht="14.25" customHeight="1">
      <c r="A10" t="s">
        <v>334</v>
      </c>
      <c r="B10" t="s">
        <v>311</v>
      </c>
      <c r="C10" s="66" t="s">
        <v>335</v>
      </c>
      <c r="D10" s="67" t="s">
        <v>313</v>
      </c>
      <c r="E10" s="68">
        <v>1</v>
      </c>
      <c r="F10" t="s">
        <v>328</v>
      </c>
      <c r="G10" t="s">
        <v>329</v>
      </c>
      <c r="H10" t="s">
        <v>325</v>
      </c>
      <c r="I10" t="s">
        <v>330</v>
      </c>
      <c r="J10">
        <v>0</v>
      </c>
      <c r="K10">
        <v>0</v>
      </c>
      <c r="L10">
        <v>0</v>
      </c>
      <c r="M10">
        <v>0</v>
      </c>
      <c r="N10" s="37">
        <v>4494</v>
      </c>
      <c r="O10" s="37">
        <v>5314.7350792091802</v>
      </c>
    </row>
    <row r="11" spans="1:15" ht="14.25" customHeight="1">
      <c r="A11" t="s">
        <v>336</v>
      </c>
      <c r="B11" t="s">
        <v>337</v>
      </c>
      <c r="C11" s="66" t="s">
        <v>338</v>
      </c>
      <c r="D11" s="67" t="s">
        <v>313</v>
      </c>
      <c r="E11" s="68">
        <v>1</v>
      </c>
      <c r="F11" t="s">
        <v>318</v>
      </c>
      <c r="G11" t="s">
        <v>339</v>
      </c>
      <c r="H11" t="s">
        <v>325</v>
      </c>
      <c r="I11" t="s">
        <v>81</v>
      </c>
      <c r="J11">
        <v>0</v>
      </c>
      <c r="K11">
        <v>0</v>
      </c>
      <c r="L11">
        <v>0</v>
      </c>
      <c r="M11">
        <v>0</v>
      </c>
      <c r="N11" s="37">
        <v>2996</v>
      </c>
      <c r="O11" s="37">
        <v>3397.04716403061</v>
      </c>
    </row>
    <row r="12" spans="1:15" ht="14.25" customHeight="1">
      <c r="A12" t="s">
        <v>340</v>
      </c>
      <c r="B12" t="s">
        <v>341</v>
      </c>
      <c r="C12" s="66" t="s">
        <v>342</v>
      </c>
      <c r="D12" s="66" t="s">
        <v>343</v>
      </c>
      <c r="E12" s="68">
        <v>1</v>
      </c>
      <c r="F12" t="s">
        <v>328</v>
      </c>
      <c r="G12" t="s">
        <v>344</v>
      </c>
      <c r="H12" t="s">
        <v>325</v>
      </c>
      <c r="I12" t="s">
        <v>81</v>
      </c>
      <c r="J12">
        <v>0</v>
      </c>
      <c r="K12">
        <v>0</v>
      </c>
      <c r="L12">
        <v>0</v>
      </c>
      <c r="M12">
        <v>0</v>
      </c>
      <c r="N12" s="37">
        <v>1926</v>
      </c>
      <c r="O12" s="37">
        <v>2301.2254982142899</v>
      </c>
    </row>
    <row r="13" spans="1:15" ht="15.75" customHeight="1">
      <c r="A13" s="45" t="s">
        <v>345</v>
      </c>
      <c r="B13" s="46"/>
      <c r="C13" s="46"/>
      <c r="D13" s="46"/>
      <c r="E13" s="46"/>
      <c r="F13" s="46"/>
      <c r="G13" s="46"/>
      <c r="H13" s="46"/>
      <c r="I13" s="46"/>
      <c r="J13" s="46">
        <f t="shared" ref="J13:O13" si="0">SUM(J5:J12)</f>
        <v>51146</v>
      </c>
      <c r="K13" s="46">
        <f t="shared" si="0"/>
        <v>60138.56889999994</v>
      </c>
      <c r="L13" s="46">
        <f t="shared" si="0"/>
        <v>36540.5</v>
      </c>
      <c r="M13" s="46">
        <f t="shared" si="0"/>
        <v>42956.209300000017</v>
      </c>
      <c r="N13" s="46">
        <f t="shared" si="0"/>
        <v>65270</v>
      </c>
      <c r="O13" s="46">
        <f t="shared" si="0"/>
        <v>77737.575360968083</v>
      </c>
    </row>
    <row r="14" spans="1:15" ht="14.25" customHeight="1"/>
  </sheetData>
  <autoFilter ref="A4:O12" xr:uid="{00000000-0009-0000-0000-000005000000}"/>
  <pageMargins left="0.75" right="0.75" top="1" bottom="1" header="0.511811023622047" footer="0.511811023622047"/>
  <pageSetup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A9D8F"/>
  </sheetPr>
  <dimension ref="A1:K21"/>
  <sheetViews>
    <sheetView showGridLines="0" zoomScaleNormal="100" workbookViewId="0">
      <pane xSplit="4" ySplit="6" topLeftCell="E7" activePane="bottomRight" state="frozen"/>
      <selection pane="topRight" activeCell="E1" sqref="E1"/>
      <selection pane="bottomLeft" activeCell="A7" sqref="A7"/>
      <selection pane="bottomRight"/>
    </sheetView>
  </sheetViews>
  <sheetFormatPr defaultColWidth="8.7109375" defaultRowHeight="15" outlineLevelCol="1"/>
  <cols>
    <col min="1" max="1" width="4" customWidth="1"/>
    <col min="2" max="2" width="14" hidden="1" customWidth="1" outlineLevel="1"/>
    <col min="3" max="3" width="0.85546875" customWidth="1" collapsed="1"/>
    <col min="4" max="4" width="24" customWidth="1"/>
    <col min="5" max="7" width="16" customWidth="1"/>
  </cols>
  <sheetData>
    <row r="1" spans="1:11" ht="21.75" customHeight="1">
      <c r="A1" s="21" t="s">
        <v>2</v>
      </c>
    </row>
    <row r="2" spans="1:11" ht="15.75" customHeight="1">
      <c r="A2" s="22" t="s">
        <v>346</v>
      </c>
    </row>
    <row r="3" spans="1:11" ht="7.5" customHeight="1"/>
    <row r="4" spans="1:11" ht="7.5" customHeight="1"/>
    <row r="5" spans="1:11" ht="14.25" customHeight="1">
      <c r="D5" s="23" t="s">
        <v>347</v>
      </c>
    </row>
    <row r="6" spans="1:11" ht="14.25" customHeight="1">
      <c r="B6" s="69" t="s">
        <v>143</v>
      </c>
      <c r="D6" s="69" t="s">
        <v>43</v>
      </c>
      <c r="E6" s="70" t="s">
        <v>44</v>
      </c>
      <c r="F6" s="70" t="s">
        <v>45</v>
      </c>
      <c r="G6" s="70" t="s">
        <v>46</v>
      </c>
    </row>
    <row r="7" spans="1:11" ht="14.25" customHeight="1">
      <c r="B7" s="71" t="s">
        <v>348</v>
      </c>
      <c r="D7" s="71" t="s">
        <v>349</v>
      </c>
      <c r="E7" s="72">
        <f>-SUMIFS(Balance_Générale!$C:$C,Balance_Générale!$G:$G,"EBITDA",Balance_Générale!$H:$H,"Personnel")/1000</f>
        <v>-60.138568899999996</v>
      </c>
      <c r="F7" s="72">
        <f>-SUMIFS(Balance_Générale!$D:$D,Balance_Générale!$G:$G,"EBITDA",Balance_Générale!$H:$H,"Personnel")/1000</f>
        <v>-42.956209300000012</v>
      </c>
      <c r="G7" s="72">
        <f>-SUMIFS(Balance_Générale!$E:$E,Balance_Générale!$G:$G,"EBITDA",Balance_Générale!$H:$H,"Personnel")/1000</f>
        <v>-78.438340199999999</v>
      </c>
    </row>
    <row r="9" spans="1:11" ht="14.25" customHeight="1">
      <c r="D9" s="73" t="s">
        <v>350</v>
      </c>
    </row>
    <row r="10" spans="1:11" ht="14.25" customHeight="1">
      <c r="B10" s="74" t="s">
        <v>330</v>
      </c>
      <c r="D10" t="s">
        <v>330</v>
      </c>
      <c r="E10" s="75">
        <v>0</v>
      </c>
      <c r="F10" s="75">
        <v>5.4846938775510203E-2</v>
      </c>
      <c r="G10" s="75">
        <v>0.185367949007579</v>
      </c>
      <c r="I10" s="76"/>
      <c r="J10" s="76"/>
      <c r="K10" s="76"/>
    </row>
    <row r="11" spans="1:11" ht="14.25" customHeight="1">
      <c r="B11" s="74" t="s">
        <v>320</v>
      </c>
      <c r="D11" t="s">
        <v>320</v>
      </c>
      <c r="E11" s="75">
        <v>0.33120437956204402</v>
      </c>
      <c r="F11" s="75">
        <v>0.25</v>
      </c>
      <c r="G11" s="75">
        <v>0.221666522028553</v>
      </c>
      <c r="I11" s="76"/>
      <c r="J11" s="76"/>
      <c r="K11" s="76"/>
    </row>
    <row r="12" spans="1:11" ht="14.25" customHeight="1">
      <c r="B12" s="74" t="s">
        <v>333</v>
      </c>
      <c r="D12" t="s">
        <v>333</v>
      </c>
      <c r="E12" s="75">
        <v>0</v>
      </c>
      <c r="F12" s="75">
        <v>0</v>
      </c>
      <c r="G12" s="75">
        <v>0.16845224263426301</v>
      </c>
      <c r="I12" s="76"/>
      <c r="J12" s="76"/>
      <c r="K12" s="76"/>
    </row>
    <row r="13" spans="1:11" ht="14.25" customHeight="1">
      <c r="B13" s="74" t="s">
        <v>81</v>
      </c>
      <c r="D13" t="s">
        <v>81</v>
      </c>
      <c r="E13" s="75">
        <v>0.66879562043795604</v>
      </c>
      <c r="F13" s="75">
        <v>0.69515306122449005</v>
      </c>
      <c r="G13" s="75">
        <v>0.424513286329605</v>
      </c>
      <c r="I13" s="76"/>
      <c r="J13" s="76"/>
      <c r="K13" s="76"/>
    </row>
    <row r="14" spans="1:11" ht="14.25" customHeight="1">
      <c r="B14" s="74" t="s">
        <v>351</v>
      </c>
      <c r="D14" s="77" t="s">
        <v>352</v>
      </c>
      <c r="E14" s="78">
        <f>SUM(E10:E13)</f>
        <v>1</v>
      </c>
      <c r="F14" s="78">
        <f>SUM(F10:F13)</f>
        <v>1.0000000000000002</v>
      </c>
      <c r="G14" s="78">
        <f>SUM(G10:G13)</f>
        <v>1</v>
      </c>
    </row>
    <row r="16" spans="1:11" ht="14.25" customHeight="1">
      <c r="D16" s="73" t="s">
        <v>353</v>
      </c>
    </row>
    <row r="17" spans="2:7" ht="14.25" customHeight="1">
      <c r="B17" s="74" t="s">
        <v>63</v>
      </c>
      <c r="D17" t="s">
        <v>354</v>
      </c>
      <c r="E17" s="37">
        <f t="shared" ref="E17:G20" si="0">E10*E$7</f>
        <v>0</v>
      </c>
      <c r="F17" s="37">
        <f t="shared" si="0"/>
        <v>-2.3560165815051026</v>
      </c>
      <c r="G17" s="37">
        <f t="shared" si="0"/>
        <v>-14.539954246432734</v>
      </c>
    </row>
    <row r="18" spans="2:7" ht="14.25" customHeight="1">
      <c r="B18" s="74" t="s">
        <v>77</v>
      </c>
      <c r="D18" t="s">
        <v>355</v>
      </c>
      <c r="E18" s="37">
        <f t="shared" si="0"/>
        <v>-19.918157400273735</v>
      </c>
      <c r="F18" s="37">
        <f t="shared" si="0"/>
        <v>-10.739052325000003</v>
      </c>
      <c r="G18" s="37">
        <f t="shared" si="0"/>
        <v>-17.387154065826433</v>
      </c>
    </row>
    <row r="19" spans="2:7" ht="14.25" customHeight="1">
      <c r="B19" s="74" t="s">
        <v>73</v>
      </c>
      <c r="D19" t="s">
        <v>356</v>
      </c>
      <c r="E19" s="37">
        <f t="shared" si="0"/>
        <v>0</v>
      </c>
      <c r="F19" s="37">
        <f t="shared" si="0"/>
        <v>0</v>
      </c>
      <c r="G19" s="37">
        <f t="shared" si="0"/>
        <v>-13.213114315199265</v>
      </c>
    </row>
    <row r="20" spans="2:7" ht="14.25" customHeight="1">
      <c r="B20" s="74" t="s">
        <v>103</v>
      </c>
      <c r="D20" t="s">
        <v>357</v>
      </c>
      <c r="E20" s="37">
        <f t="shared" si="0"/>
        <v>-40.220411499726268</v>
      </c>
      <c r="F20" s="37">
        <f t="shared" si="0"/>
        <v>-29.861140393494917</v>
      </c>
      <c r="G20" s="37">
        <f t="shared" si="0"/>
        <v>-33.298117572541564</v>
      </c>
    </row>
    <row r="21" spans="2:7" ht="14.25" customHeight="1">
      <c r="B21" s="74" t="s">
        <v>351</v>
      </c>
      <c r="D21" s="77" t="s">
        <v>358</v>
      </c>
      <c r="E21" s="79">
        <f>SUM(E17:E20)-E7</f>
        <v>0</v>
      </c>
      <c r="F21" s="79">
        <f>SUM(F17:F20)-F7</f>
        <v>0</v>
      </c>
      <c r="G21" s="79">
        <f>SUM(G17:G20)-G7</f>
        <v>0</v>
      </c>
    </row>
  </sheetData>
  <conditionalFormatting sqref="E14:G14">
    <cfRule type="cellIs" dxfId="7" priority="2" operator="equal">
      <formula>1</formula>
    </cfRule>
    <cfRule type="cellIs" dxfId="6" priority="3" operator="notEqual">
      <formula>1</formula>
    </cfRule>
  </conditionalFormatting>
  <conditionalFormatting sqref="E21:G21">
    <cfRule type="cellIs" dxfId="5" priority="4" operator="equal">
      <formula>0</formula>
    </cfRule>
    <cfRule type="cellIs" dxfId="4" priority="5" operator="notEqual">
      <formula>0</formula>
    </cfRule>
  </conditionalFormatting>
  <pageMargins left="0.75" right="0.75" top="1" bottom="1" header="0.511811023622047" footer="0.511811023622047"/>
  <pageSetup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A9D8F"/>
  </sheetPr>
  <dimension ref="A1:F2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8.7109375" defaultRowHeight="15"/>
  <cols>
    <col min="2" max="2" width="35" customWidth="1"/>
    <col min="3" max="5" width="16" customWidth="1"/>
  </cols>
  <sheetData>
    <row r="1" spans="1:5" ht="17.25" customHeight="1">
      <c r="A1" s="21" t="s">
        <v>2</v>
      </c>
    </row>
    <row r="2" spans="1:5" ht="14.25" customHeight="1">
      <c r="A2" s="22" t="s">
        <v>180</v>
      </c>
    </row>
    <row r="3" spans="1:5" ht="14.25" customHeight="1">
      <c r="A3" s="22"/>
    </row>
    <row r="4" spans="1:5" ht="14.25" customHeight="1">
      <c r="A4" s="22"/>
      <c r="B4" s="23" t="s">
        <v>359</v>
      </c>
    </row>
    <row r="5" spans="1:5" ht="14.25" customHeight="1">
      <c r="B5" s="80" t="s">
        <v>360</v>
      </c>
      <c r="C5" s="81" t="s">
        <v>44</v>
      </c>
      <c r="D5" s="81" t="s">
        <v>45</v>
      </c>
      <c r="E5" s="81" t="s">
        <v>46</v>
      </c>
    </row>
    <row r="6" spans="1:5" ht="14.25" customHeight="1">
      <c r="B6" s="82" t="s">
        <v>361</v>
      </c>
      <c r="C6" s="83">
        <v>-19553.0088</v>
      </c>
      <c r="D6" s="83">
        <v>-25516.953399999999</v>
      </c>
      <c r="E6" s="83">
        <v>-30466.773399999998</v>
      </c>
    </row>
    <row r="7" spans="1:5" ht="14.25" customHeight="1">
      <c r="B7" s="82" t="s">
        <v>362</v>
      </c>
      <c r="C7" s="83">
        <v>-14816.6003</v>
      </c>
      <c r="D7" s="83">
        <v>-18505.2006</v>
      </c>
      <c r="E7" s="83">
        <v>-21236.696599999999</v>
      </c>
    </row>
    <row r="8" spans="1:5" ht="14.25" customHeight="1">
      <c r="B8" s="82" t="s">
        <v>363</v>
      </c>
      <c r="C8" s="83">
        <v>0</v>
      </c>
      <c r="D8" s="83">
        <v>-12393.242899999999</v>
      </c>
      <c r="E8" s="83">
        <v>-15283.5697</v>
      </c>
    </row>
    <row r="9" spans="1:5" ht="14.25" customHeight="1">
      <c r="B9" s="82" t="s">
        <v>364</v>
      </c>
      <c r="C9" s="83">
        <v>-8853.8541000000005</v>
      </c>
      <c r="D9" s="83">
        <v>-10536.6217</v>
      </c>
      <c r="E9" s="83">
        <v>-12335.4522</v>
      </c>
    </row>
    <row r="10" spans="1:5" ht="14.25" customHeight="1">
      <c r="B10" s="82" t="s">
        <v>365</v>
      </c>
      <c r="C10" s="83">
        <v>-7413.1418999999996</v>
      </c>
      <c r="D10" s="83">
        <v>-8747.1643999999997</v>
      </c>
      <c r="E10" s="83">
        <v>-10030.490299999999</v>
      </c>
    </row>
    <row r="11" spans="1:5" ht="14.25" customHeight="1">
      <c r="B11" s="82" t="s">
        <v>366</v>
      </c>
      <c r="C11" s="83">
        <v>0</v>
      </c>
      <c r="D11" s="83">
        <v>-5653.3022000000001</v>
      </c>
      <c r="E11" s="83">
        <v>-8162.5271000000002</v>
      </c>
    </row>
    <row r="12" spans="1:5" ht="14.25" customHeight="1">
      <c r="B12" s="82" t="s">
        <v>367</v>
      </c>
      <c r="C12" s="83">
        <v>-5176.1463999999996</v>
      </c>
      <c r="D12" s="83">
        <v>-5400.4933000000001</v>
      </c>
      <c r="E12" s="83">
        <v>-6616.6018000000004</v>
      </c>
    </row>
    <row r="13" spans="1:5" ht="14.25" customHeight="1">
      <c r="B13" s="82" t="s">
        <v>368</v>
      </c>
      <c r="C13" s="83">
        <v>0</v>
      </c>
      <c r="D13" s="83">
        <v>-4203.7518</v>
      </c>
      <c r="E13" s="83">
        <v>-5272.0825999999997</v>
      </c>
    </row>
    <row r="14" spans="1:5" ht="14.25" customHeight="1">
      <c r="B14" s="82" t="s">
        <v>369</v>
      </c>
      <c r="C14" s="83">
        <v>-3153.6966000000002</v>
      </c>
      <c r="D14" s="83">
        <v>0</v>
      </c>
      <c r="E14" s="83">
        <v>-4081.6433999999999</v>
      </c>
    </row>
    <row r="15" spans="1:5" ht="14.25" customHeight="1">
      <c r="B15" s="82" t="s">
        <v>370</v>
      </c>
      <c r="C15" s="83">
        <v>-1952.3755000000001</v>
      </c>
      <c r="D15" s="83">
        <v>-2551.4899</v>
      </c>
      <c r="E15" s="83">
        <v>-3163.3800999999999</v>
      </c>
    </row>
    <row r="16" spans="1:5" ht="14.25" customHeight="1">
      <c r="B16" s="84" t="s">
        <v>371</v>
      </c>
      <c r="C16" s="85">
        <f>C20-SUM(C6:C15)</f>
        <v>-137790.64099999997</v>
      </c>
      <c r="D16" s="85">
        <f>D20-SUM(D6:D15)</f>
        <v>-160160.15730000002</v>
      </c>
      <c r="E16" s="85">
        <f>E20-SUM(E6:E15)</f>
        <v>-193469.79229999997</v>
      </c>
    </row>
    <row r="17" spans="2:6" ht="14.25" customHeight="1">
      <c r="B17" s="86" t="s">
        <v>345</v>
      </c>
      <c r="C17" s="87">
        <f>SUM(C6:C16)</f>
        <v>-198709.46459999998</v>
      </c>
      <c r="D17" s="87">
        <f>SUM(D6:D16)</f>
        <v>-253668.3775</v>
      </c>
      <c r="E17" s="87">
        <f>SUM(E6:E16)</f>
        <v>-310119.00949999999</v>
      </c>
    </row>
    <row r="19" spans="2:6" ht="14.25" customHeight="1">
      <c r="B19" s="48" t="s">
        <v>254</v>
      </c>
      <c r="C19" s="49"/>
      <c r="D19" s="49"/>
      <c r="E19" s="49"/>
      <c r="F19" s="49"/>
    </row>
    <row r="20" spans="2:6" ht="14.25" customHeight="1">
      <c r="B20" t="s">
        <v>372</v>
      </c>
      <c r="C20" s="37">
        <v>-198709.46459999998</v>
      </c>
      <c r="D20" s="37">
        <v>-253668.37750000003</v>
      </c>
      <c r="E20" s="37">
        <v>-310119.00949999999</v>
      </c>
    </row>
    <row r="21" spans="2:6" ht="14.25" customHeight="1">
      <c r="B21" s="52" t="s">
        <v>373</v>
      </c>
      <c r="C21" s="53">
        <f>C20-C17</f>
        <v>0</v>
      </c>
      <c r="D21" s="53">
        <f>D20-D17</f>
        <v>0</v>
      </c>
      <c r="E21" s="53">
        <f>E20-E17</f>
        <v>0</v>
      </c>
    </row>
  </sheetData>
  <conditionalFormatting sqref="C21:E21">
    <cfRule type="cellIs" dxfId="3" priority="2" operator="equal">
      <formula>0</formula>
    </cfRule>
    <cfRule type="cellIs" dxfId="2" priority="3" operator="notEqual">
      <formula>0</formula>
    </cfRule>
  </conditionalFormatting>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A9D8F"/>
  </sheetPr>
  <dimension ref="A1:F21"/>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ColWidth="8.7109375" defaultRowHeight="15"/>
  <cols>
    <col min="2" max="2" width="35" customWidth="1"/>
    <col min="3" max="5" width="16" customWidth="1"/>
  </cols>
  <sheetData>
    <row r="1" spans="1:5" ht="17.25" customHeight="1">
      <c r="A1" s="21" t="s">
        <v>2</v>
      </c>
    </row>
    <row r="2" spans="1:5" ht="14.25" customHeight="1">
      <c r="A2" s="22" t="s">
        <v>174</v>
      </c>
    </row>
    <row r="3" spans="1:5" ht="14.25" customHeight="1">
      <c r="A3" s="22"/>
    </row>
    <row r="4" spans="1:5" ht="14.25" customHeight="1">
      <c r="A4" s="22"/>
      <c r="B4" s="23" t="s">
        <v>374</v>
      </c>
    </row>
    <row r="5" spans="1:5" ht="14.25" customHeight="1">
      <c r="B5" s="80" t="s">
        <v>360</v>
      </c>
      <c r="C5" s="81" t="s">
        <v>44</v>
      </c>
      <c r="D5" s="81" t="s">
        <v>45</v>
      </c>
      <c r="E5" s="81" t="s">
        <v>46</v>
      </c>
    </row>
    <row r="6" spans="1:5" ht="14.25" customHeight="1">
      <c r="B6" s="82" t="s">
        <v>375</v>
      </c>
      <c r="C6" s="83">
        <v>45136.526899999997</v>
      </c>
      <c r="D6" s="83">
        <v>55350.479399999997</v>
      </c>
      <c r="E6" s="83">
        <v>62325.178099999997</v>
      </c>
    </row>
    <row r="7" spans="1:5" ht="14.25" customHeight="1">
      <c r="B7" s="82" t="s">
        <v>376</v>
      </c>
      <c r="C7" s="83">
        <v>0</v>
      </c>
      <c r="D7" s="83">
        <v>0</v>
      </c>
      <c r="E7" s="83">
        <v>44219.611799999999</v>
      </c>
    </row>
    <row r="8" spans="1:5" ht="14.25" customHeight="1">
      <c r="B8" s="82" t="s">
        <v>377</v>
      </c>
      <c r="C8" s="83">
        <v>25516.600299999998</v>
      </c>
      <c r="D8" s="83">
        <v>29417.702600000001</v>
      </c>
      <c r="E8" s="83">
        <v>31551.753400000001</v>
      </c>
    </row>
    <row r="9" spans="1:5" ht="14.25" customHeight="1">
      <c r="B9" s="82" t="s">
        <v>378</v>
      </c>
      <c r="C9" s="83">
        <v>19808.524799999999</v>
      </c>
      <c r="D9" s="83">
        <v>22306.889200000001</v>
      </c>
      <c r="E9" s="83">
        <v>24411.397300000001</v>
      </c>
    </row>
    <row r="10" spans="1:5" ht="14.25" customHeight="1">
      <c r="B10" s="82" t="s">
        <v>379</v>
      </c>
      <c r="C10" s="83">
        <v>0</v>
      </c>
      <c r="D10" s="83">
        <v>17423.6018</v>
      </c>
      <c r="E10" s="83">
        <v>19199.309600000001</v>
      </c>
    </row>
    <row r="11" spans="1:5" ht="14.25" customHeight="1">
      <c r="B11" s="82" t="s">
        <v>380</v>
      </c>
      <c r="C11" s="83">
        <v>12035.178099999999</v>
      </c>
      <c r="D11" s="83">
        <v>13746.6003</v>
      </c>
      <c r="E11" s="83">
        <v>15281.2799</v>
      </c>
    </row>
    <row r="12" spans="1:5" ht="14.25" customHeight="1">
      <c r="B12" s="82" t="s">
        <v>381</v>
      </c>
      <c r="C12" s="83">
        <v>9559.9364000000005</v>
      </c>
      <c r="D12" s="83">
        <v>11147.9341</v>
      </c>
      <c r="E12" s="83">
        <v>12442.9658</v>
      </c>
    </row>
    <row r="13" spans="1:5" ht="14.25" customHeight="1">
      <c r="B13" s="82" t="s">
        <v>382</v>
      </c>
      <c r="C13" s="83">
        <v>0</v>
      </c>
      <c r="D13" s="83">
        <v>9175.1537000000008</v>
      </c>
      <c r="E13" s="83">
        <v>9816.8433999999997</v>
      </c>
    </row>
    <row r="14" spans="1:5" ht="14.25" customHeight="1">
      <c r="B14" s="82" t="s">
        <v>383</v>
      </c>
      <c r="C14" s="83">
        <v>0</v>
      </c>
      <c r="D14" s="83">
        <v>0</v>
      </c>
      <c r="E14" s="83">
        <v>7793.2487000000001</v>
      </c>
    </row>
    <row r="15" spans="1:5" ht="14.25" customHeight="1">
      <c r="B15" s="82" t="s">
        <v>384</v>
      </c>
      <c r="C15" s="83">
        <v>4417.4521999999997</v>
      </c>
      <c r="D15" s="83">
        <v>5235.7988999999998</v>
      </c>
      <c r="E15" s="83">
        <v>6090.6325999999999</v>
      </c>
    </row>
    <row r="16" spans="1:5" ht="14.25" customHeight="1">
      <c r="B16" s="84" t="s">
        <v>371</v>
      </c>
      <c r="C16" s="85">
        <v>180790.99849999999</v>
      </c>
      <c r="D16" s="85">
        <v>200263.9713</v>
      </c>
      <c r="E16" s="85">
        <v>222033.3995</v>
      </c>
    </row>
    <row r="17" spans="2:6" ht="14.25" customHeight="1">
      <c r="B17" s="86" t="s">
        <v>345</v>
      </c>
      <c r="C17" s="87">
        <f>SUM(C6:C16)</f>
        <v>297265.21719999996</v>
      </c>
      <c r="D17" s="87">
        <f>SUM(D6:D16)</f>
        <v>364068.13130000001</v>
      </c>
      <c r="E17" s="87">
        <f>SUM(E6:E16)</f>
        <v>455165.62010000006</v>
      </c>
    </row>
    <row r="19" spans="2:6" ht="14.25" customHeight="1">
      <c r="B19" s="48" t="s">
        <v>254</v>
      </c>
      <c r="C19" s="49"/>
      <c r="D19" s="49"/>
      <c r="E19" s="49"/>
      <c r="F19" s="49"/>
    </row>
    <row r="20" spans="2:6" ht="14.25" customHeight="1">
      <c r="B20" t="s">
        <v>385</v>
      </c>
      <c r="C20" s="37">
        <f>CR!I8*1000</f>
        <v>297265.21720000001</v>
      </c>
      <c r="D20" s="37">
        <f>CR!J8*1000</f>
        <v>364068.13130000007</v>
      </c>
      <c r="E20" s="37">
        <f>CR!K8*1000</f>
        <v>455165.62009999994</v>
      </c>
    </row>
    <row r="21" spans="2:6" ht="14.25" customHeight="1">
      <c r="B21" s="52" t="s">
        <v>373</v>
      </c>
      <c r="C21" s="53">
        <f>C20-C17</f>
        <v>0</v>
      </c>
      <c r="D21" s="53">
        <f>D20-D17</f>
        <v>0</v>
      </c>
      <c r="E21" s="53">
        <f>E20-E17</f>
        <v>0</v>
      </c>
    </row>
  </sheetData>
  <conditionalFormatting sqref="C21:E21">
    <cfRule type="cellIs" dxfId="1" priority="2" operator="equal">
      <formula>0</formula>
    </cfRule>
    <cfRule type="cellIs" dxfId="0" priority="3" operator="notEqual">
      <formula>0</formula>
    </cfRule>
  </conditionalFormatting>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Couverture</vt:lpstr>
      <vt:lpstr>Sommaire</vt:lpstr>
      <vt:lpstr>CR</vt:lpstr>
      <vt:lpstr>Bilan</vt:lpstr>
      <vt:lpstr>TFT</vt:lpstr>
      <vt:lpstr>Effectifs</vt:lpstr>
      <vt:lpstr>Charges_Personnel</vt:lpstr>
      <vt:lpstr>Fournisseurs</vt:lpstr>
      <vt:lpstr>Clients</vt:lpstr>
      <vt:lpstr>Sources &gt;&gt;&gt;</vt:lpstr>
      <vt:lpstr>Mapping</vt:lpstr>
      <vt:lpstr>Balance_Générale</vt:lpstr>
      <vt:lpstr>Avertissement</vt:lpstr>
      <vt:lpstr>Balance_Générale!Print_Titles</vt:lpstr>
      <vt:lpstr>Bilan!Print_Titles</vt:lpstr>
      <vt:lpstr>Charges_Personnel!Print_Titles</vt:lpstr>
      <vt:lpstr>CR!Print_Titles</vt:lpstr>
      <vt:lpstr>Effectifs!Print_Titles</vt:lpstr>
      <vt:lpstr>Mapping!Print_Titles</vt:lpstr>
      <vt:lpstr>TFT!Print_Titles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gregoire caye</cp:lastModifiedBy>
  <cp:revision>0</cp:revision>
  <dcterms:created xsi:type="dcterms:W3CDTF">2026-04-16T16:16:58Z</dcterms:created>
  <dcterms:modified xsi:type="dcterms:W3CDTF">2026-04-22T15:03:34Z</dcterms:modified>
  <dc:language>en-US</dc:language>
</cp:coreProperties>
</file>